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OneDrive - University of West Attica\MASTER TEACHING\ΠΜΣ ΛΙΜΕΝΕΣ\MASTER_PORT MANAGEMENT\ΔΙΑΛΕΞΕΙΣ_ΣΟΦΙΑ\ΚΥΚΛΟΣ 2021-2022\ΔΙΑΛΕΞΗ 5_ΚΕΦΑΛΑΙΑΚΗ ΔΙΑΡΘΡΩΣΗ_ΕΠΕΝΔΥΤΙΚΟΙ ΑΡΙΘΜ\"/>
    </mc:Choice>
  </mc:AlternateContent>
  <bookViews>
    <workbookView xWindow="0" yWindow="0" windowWidth="24000" windowHeight="9435" tabRatio="196"/>
  </bookViews>
  <sheets>
    <sheet name="ΔΕΛΤΑ ΑΕ" sheetId="1" r:id="rId1"/>
    <sheet name="ΑΛΦΑ" sheetId="2" r:id="rId2"/>
    <sheet name="ΩΜΕΓΑ" sheetId="3" r:id="rId3"/>
    <sheet name="ΥΨΙΛΟΝ" sheetId="4" r:id="rId4"/>
    <sheet name="ΣΙΘΩΝΙΑ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8" i="5" l="1"/>
  <c r="AC40" i="5"/>
  <c r="AE36" i="5"/>
  <c r="AE34" i="5"/>
  <c r="AE32" i="5"/>
  <c r="AE31" i="5"/>
  <c r="C60" i="5" l="1"/>
  <c r="N59" i="5"/>
  <c r="K57" i="5"/>
  <c r="J55" i="5"/>
  <c r="J53" i="5"/>
  <c r="L51" i="5"/>
  <c r="J50" i="5"/>
  <c r="J47" i="5"/>
  <c r="J46" i="5"/>
  <c r="J45" i="5"/>
  <c r="J44" i="5"/>
  <c r="D44" i="5"/>
  <c r="D42" i="5"/>
  <c r="C42" i="5"/>
  <c r="C44" i="5" s="1"/>
  <c r="C28" i="5"/>
  <c r="H27" i="5"/>
  <c r="D26" i="5"/>
  <c r="D28" i="5" s="1"/>
  <c r="C26" i="5"/>
  <c r="H25" i="5"/>
  <c r="H23" i="5"/>
  <c r="H29" i="5" l="1"/>
  <c r="H21" i="5"/>
  <c r="H32" i="5"/>
  <c r="K26" i="4"/>
  <c r="K21" i="4"/>
  <c r="K16" i="4"/>
  <c r="K14" i="4"/>
  <c r="K12" i="4"/>
  <c r="K10" i="4"/>
  <c r="E26" i="3"/>
  <c r="E22" i="3"/>
  <c r="D22" i="3"/>
  <c r="E17" i="3"/>
  <c r="E16" i="3"/>
  <c r="E11" i="3"/>
  <c r="D17" i="3"/>
  <c r="D16" i="3"/>
  <c r="D11" i="3"/>
  <c r="E27" i="3"/>
  <c r="D26" i="3"/>
  <c r="D27" i="3" s="1"/>
  <c r="D28" i="3" s="1"/>
  <c r="M21" i="3"/>
  <c r="P19" i="3"/>
  <c r="J23" i="3" s="1"/>
  <c r="J14" i="3"/>
  <c r="J12" i="3"/>
  <c r="P10" i="3"/>
  <c r="K19" i="4" l="1"/>
  <c r="K23" i="4"/>
  <c r="E28" i="3"/>
  <c r="J15" i="2"/>
  <c r="F25" i="2"/>
  <c r="J13" i="2"/>
  <c r="J11" i="2"/>
  <c r="N38" i="2" l="1"/>
  <c r="N36" i="2"/>
  <c r="N34" i="2"/>
  <c r="J17" i="2"/>
  <c r="C27" i="2"/>
  <c r="C30" i="2" s="1"/>
  <c r="C33" i="2" s="1"/>
  <c r="C35" i="2" s="1"/>
  <c r="F20" i="2"/>
  <c r="F14" i="2"/>
  <c r="F12" i="2"/>
  <c r="C20" i="2"/>
  <c r="C14" i="2"/>
  <c r="F21" i="2" l="1"/>
  <c r="J9" i="2"/>
  <c r="J10" i="2"/>
  <c r="C21" i="2"/>
  <c r="J46" i="1" l="1"/>
  <c r="I46" i="1"/>
  <c r="F18" i="1" l="1"/>
  <c r="F20" i="1"/>
  <c r="F23" i="1"/>
  <c r="F25" i="1"/>
  <c r="F32" i="1"/>
  <c r="F34" i="1"/>
  <c r="C63" i="1" l="1"/>
  <c r="C67" i="1" s="1"/>
  <c r="C69" i="1" s="1"/>
  <c r="C71" i="1" s="1"/>
  <c r="C51" i="1"/>
  <c r="G48" i="1" s="1"/>
  <c r="B51" i="1"/>
  <c r="C46" i="1"/>
  <c r="B46" i="1"/>
  <c r="C43" i="1"/>
  <c r="B43" i="1"/>
  <c r="C35" i="1"/>
  <c r="B35" i="1"/>
  <c r="C30" i="1"/>
  <c r="B30" i="1"/>
  <c r="C22" i="1"/>
  <c r="C25" i="1" s="1"/>
  <c r="B22" i="1"/>
  <c r="B25" i="1" s="1"/>
  <c r="B36" i="1" l="1"/>
  <c r="B37" i="1" s="1"/>
  <c r="C36" i="1"/>
  <c r="B52" i="1"/>
  <c r="B53" i="1" s="1"/>
  <c r="C52" i="1"/>
  <c r="C53" i="1" s="1"/>
  <c r="G46" i="1" l="1"/>
  <c r="G44" i="1"/>
  <c r="G42" i="1"/>
  <c r="C37" i="1"/>
</calcChain>
</file>

<file path=xl/sharedStrings.xml><?xml version="1.0" encoding="utf-8"?>
<sst xmlns="http://schemas.openxmlformats.org/spreadsheetml/2006/main" count="286" uniqueCount="241">
  <si>
    <t>ΕΝΕΡΓΗΤΙΚΟ</t>
  </si>
  <si>
    <t>Μη κυκλοφορούντα περιουσιακά στοιχεία</t>
  </si>
  <si>
    <t>Ακίνητα</t>
  </si>
  <si>
    <t>Αποσβεσμένα ακίνητα</t>
  </si>
  <si>
    <t>Εξοπλισμός</t>
  </si>
  <si>
    <t>Αποσβεσμένος Εξοπλισμός</t>
  </si>
  <si>
    <t>Σύνολο</t>
  </si>
  <si>
    <t>Χρηματοοικονομικά Περιουσιακά Στοιχεία</t>
  </si>
  <si>
    <t>Συμμετοχές</t>
  </si>
  <si>
    <t xml:space="preserve">Σύνολο μη κυκλοφορούντων </t>
  </si>
  <si>
    <t>Κυκλοφορούντα Περιουσιακά Στοιχεία</t>
  </si>
  <si>
    <t>Αποθέματα</t>
  </si>
  <si>
    <t>Εμπορεύματα</t>
  </si>
  <si>
    <t>Προκαταβολές σε προμηθευτές</t>
  </si>
  <si>
    <t>Χρηματοοικονομικά Στοιεία &amp; προκαταβολές</t>
  </si>
  <si>
    <t>Εμπορικές Απαιτήσεις</t>
  </si>
  <si>
    <t>Λοιπές απαιτήσεις</t>
  </si>
  <si>
    <t>Ταμειακά Διαθέσιμα &amp; Ισοδύναμα</t>
  </si>
  <si>
    <t>Σύνολο Κυκλοφορούντων</t>
  </si>
  <si>
    <t>Σύνολο Ενεργητικού</t>
  </si>
  <si>
    <t>ΠΑΘΗΤΙΚΟ</t>
  </si>
  <si>
    <t>Καθαρή Θέση</t>
  </si>
  <si>
    <t>Καταβλημένα Κεφάλαια</t>
  </si>
  <si>
    <t>Αποθεματικά και Αποτελέσματα εις Νέο</t>
  </si>
  <si>
    <t>Σύνολο Καθαρής Θέσης</t>
  </si>
  <si>
    <t>Μακροπρόθεσμες Υποχρεώσεις</t>
  </si>
  <si>
    <t>Μακροχρόνιο Δάνειο</t>
  </si>
  <si>
    <t>Βραχυπρόθεσμες Υποχρεώσεις</t>
  </si>
  <si>
    <t>Εμπορικές Υποχρεώσεις</t>
  </si>
  <si>
    <t>Λοιπές Υποχρεώσεις</t>
  </si>
  <si>
    <t>Έξοδα χρήσεως δουλευμένα</t>
  </si>
  <si>
    <t>Σύνολο Υποχρεώσεων</t>
  </si>
  <si>
    <t>Σύνολο Παθητικού</t>
  </si>
  <si>
    <t>Ενσώματα πάγια</t>
  </si>
  <si>
    <t>ΚΑΤΑΣΤΑΣΗ ΑΠΟΤΕΛΕΣΜΑΤΩΝ</t>
  </si>
  <si>
    <t>Πωλήσεις</t>
  </si>
  <si>
    <t>Κόστος Πωληθέντων</t>
  </si>
  <si>
    <t>Μικτό Κέρδος</t>
  </si>
  <si>
    <t>Έξοδα Διοίκησης</t>
  </si>
  <si>
    <t>Έξοδα Διάθεσης</t>
  </si>
  <si>
    <t>Κέρδη από πώληση συμμετοχών</t>
  </si>
  <si>
    <t>Αποτέλεσμα προ τόκων και φόρων</t>
  </si>
  <si>
    <t>Τόκοι χρεωστικοί</t>
  </si>
  <si>
    <t>Αποτέλεσμα προ φόρων</t>
  </si>
  <si>
    <t>Φόρος εισοδήματος</t>
  </si>
  <si>
    <t>Αποτέλεσμα μετά από φόρους</t>
  </si>
  <si>
    <t>83000/(14000+9000)/2</t>
  </si>
  <si>
    <t>φορές/έτος</t>
  </si>
  <si>
    <t>Διάρκεια αποθεμάτων (σε ημέρες) =</t>
  </si>
  <si>
    <t>365/7,2</t>
  </si>
  <si>
    <t>ημέρες</t>
  </si>
  <si>
    <t>ΚΤ αποθεμάτων =</t>
  </si>
  <si>
    <t>ΚΤ απαιτήσεων=</t>
  </si>
  <si>
    <t>ΚΤ απαιτήσεων= πωλήσεις (με πίστωση)/ (μέσος όρος απαιτήσεων)</t>
  </si>
  <si>
    <t>ΚΤ αποθεμάτων = κόστος πωληθέντων/(μέσος όρος αποθ)</t>
  </si>
  <si>
    <t>110000/ (22000+16000)/2</t>
  </si>
  <si>
    <t>Διάρκεια απαιτήσεων (σε ημέρες) =</t>
  </si>
  <si>
    <t>365/5,8</t>
  </si>
  <si>
    <t>ΚΤ προμηθευτών = αγορές/ Μ.Ο. εμπορικών υποχρεώσεων (φορές/ έτος)</t>
  </si>
  <si>
    <t>Αγορές χρήσης = Κόστος πωληθέντων +αποθέματα τέλους - αποθέματα αρχής</t>
  </si>
  <si>
    <t>Αγορές χρήσης = 83000+14000-9000=88000</t>
  </si>
  <si>
    <t>ΚΤ προμηθευτών= 88000/(18000+19000)/2)</t>
  </si>
  <si>
    <t>φορές / έτος</t>
  </si>
  <si>
    <t>Διάρκεια υποχρεώσεων προς προμηθευτές = 365/ΚΤ προμηθευτών</t>
  </si>
  <si>
    <t>Λειτουργικός κύκλος=διάρκεια αποθεμάτων+διάρκεια απαιτήσεων</t>
  </si>
  <si>
    <t>51+63</t>
  </si>
  <si>
    <t>Εμπορικός κύκλος=λειτουργικός κύκλος-διάρκεια προμηθευτών</t>
  </si>
  <si>
    <t>114-77</t>
  </si>
  <si>
    <t>Κεφάλαιο κίνησης = ΚΥΚΛ. ΕΝΕΡΓ - ΒΡΑΧ. ΥΠΟΧΡΕΩΣΕΙΣ</t>
  </si>
  <si>
    <t>ΕΤΟΣ 2019</t>
  </si>
  <si>
    <t>ΕΜΜΕΣΗ ΡΕΥΣΤΟΤΗΤΑ=ΚΕ/ΒΥ</t>
  </si>
  <si>
    <t>ΤΑΜΕΙΑΚΗ ΡΕΥΣΤΟΤΗΤΑ=(ΚΕ-ΠΡΟΚΑΤΑΒΟΛΕΣ ΣΕ ΠΡΟΜ)/ΒΥ-ΛΟΙΠΕΣ -ΕΞΟΔΑ ΧΡ. ΔΟΥΛ</t>
  </si>
  <si>
    <t>φορές</t>
  </si>
  <si>
    <t>ΑΜΕΣΗ ΡΕΥΣΤΟΤΗΤΑ=ΚΕ-ΑΠΟΘΕΜΑΤΑ/ΒΥ-προκ.πελατών</t>
  </si>
  <si>
    <t>Σημείωση για το 2019: οι Λοιπές Υποχρεώσεις αφορούν προκαταβολές πελατών 7000 και μερίσματα πληρωτέα 5000</t>
  </si>
  <si>
    <t>ΑΛΦΑ</t>
  </si>
  <si>
    <t>ΣΥΝΟΛΟ ΕΝΕΡΓΗΤΙΚΟΥ</t>
  </si>
  <si>
    <t>•Μετοχικό κεφάλαιο</t>
  </si>
  <si>
    <t>•Αποθεματικά</t>
  </si>
  <si>
    <t>•Ίδια κεφάλαια</t>
  </si>
  <si>
    <t>•Μακροχρόνια δάνεια</t>
  </si>
  <si>
    <t xml:space="preserve">•ΜΑΚΡΟΠΡΟΘΕΣΜΕΣ ΥΠΟΧ.  30000 </t>
  </si>
  <si>
    <t>•Προμηθευτές</t>
  </si>
  <si>
    <t>•Γραμμάτια πληρωτέα</t>
  </si>
  <si>
    <t>•Προκατ. Πελατών</t>
  </si>
  <si>
    <t>•Έξοδα πληρωτέα</t>
  </si>
  <si>
    <t xml:space="preserve">•Μερίσματα πληρωτέα </t>
  </si>
  <si>
    <t>•ΒΡΑΧΥΠΡΟΘΕΣΜΕΣ ΥΠΟΧ.35000</t>
  </si>
  <si>
    <t>ΣΥΝΟΛΟ ΠΑΘΗΤΙΚΟΥ</t>
  </si>
  <si>
    <t xml:space="preserve">•Κτίρια </t>
  </si>
  <si>
    <t>•Εξοπλισμός</t>
  </si>
  <si>
    <t>•Συμμετοχές</t>
  </si>
  <si>
    <t>•ΠΑΓΙΟ ΕΝΕΡΓΗΤΙΚΟ</t>
  </si>
  <si>
    <t>•Εμπορεύματα</t>
  </si>
  <si>
    <t>•Προκ/λές σε προμηθευτές</t>
  </si>
  <si>
    <t>•Πελάτες</t>
  </si>
  <si>
    <t>•Λοιπές απαιτήσεις</t>
  </si>
  <si>
    <t>•Διαθέσιμα</t>
  </si>
  <si>
    <t>•ΚΥΚΛΟΦΟΡΟΥΝ ΕΝΕΡΓΗΤΙΚΟ</t>
  </si>
  <si>
    <t xml:space="preserve">•Αποσβεσμένα κτίρια -11000         </t>
  </si>
  <si>
    <t>κεφ κίν</t>
  </si>
  <si>
    <t>ΚΕ-ΒΥ</t>
  </si>
  <si>
    <t>εμμ. Ρευστ = ΚΕ/ΒΥ</t>
  </si>
  <si>
    <t>άμεση ρευστ = ΚΕ -ΑΠΟΘ - ΠΡΟΚ ΠΡΟΜ/ ΒΥ-ΠΡΟΚ ΠΕΛΑΤΩΝ</t>
  </si>
  <si>
    <t>ταμειακή ρευστ = (χρεόγραφα + διαθ)/ΒΥ-ΠΡΟΚ. ΠΕΛ</t>
  </si>
  <si>
    <t>αμυντικό διάστημα = απαιτήσεις +χρεόγραφα + διαθέσιμα /ημερ έξοδα</t>
  </si>
  <si>
    <t>ημερ έξοδα = ετήσια/365</t>
  </si>
  <si>
    <t xml:space="preserve">•Πωλήσεις </t>
  </si>
  <si>
    <t>•Κόστος Πωληθέντων</t>
  </si>
  <si>
    <t xml:space="preserve">•Μικτό Κέρδος </t>
  </si>
  <si>
    <t xml:space="preserve">•Έξοδα διοικητικής λειτουργίας </t>
  </si>
  <si>
    <t>•Έξοδα λειτουργίας διάθεσης</t>
  </si>
  <si>
    <t>•Λειτουργικό αποτέλεσμα</t>
  </si>
  <si>
    <t xml:space="preserve">•Κέρδη από πώληση συμμετοχών </t>
  </si>
  <si>
    <t>•Τόκοι χρεωστικοί</t>
  </si>
  <si>
    <t>•Κέρδη χρήσεως</t>
  </si>
  <si>
    <t>•Φόρος εισοδήματος</t>
  </si>
  <si>
    <t>•Καθαρά Κέρδη</t>
  </si>
  <si>
    <t>αποσβέσεις</t>
  </si>
  <si>
    <t>εξοδα</t>
  </si>
  <si>
    <t>ΕΠΙΧΕΙΡΗΣΗ ΑΛΦΑ</t>
  </si>
  <si>
    <t>ΕΠΙΧΕΙΡΗΣΗ ΔΕΛΤΑ ΑΕ</t>
  </si>
  <si>
    <t>ΑΣΚΗΣΗ 6 ΩΜΕΓΑ</t>
  </si>
  <si>
    <t>Ενσώματο Πάγιο ενεργ</t>
  </si>
  <si>
    <t>Ασώματο πάγιο ενεργ</t>
  </si>
  <si>
    <t>ΚΤ απαιτήσεων = πωλήσεις/Μ.Ο. απαιτήσεων= 83457/(47581+49300)/2</t>
  </si>
  <si>
    <t>Σύνολο παγίου ενεργητ</t>
  </si>
  <si>
    <t>Μ.Ο. απαιτήσεων</t>
  </si>
  <si>
    <t>Πελάτες</t>
  </si>
  <si>
    <t>Προκαταβολές προμηθ</t>
  </si>
  <si>
    <t xml:space="preserve">Διάρκεια απαιτήσεων </t>
  </si>
  <si>
    <t>Διαθέσιμα</t>
  </si>
  <si>
    <t>Σύνολο Κυκλοφορούντος</t>
  </si>
  <si>
    <t>ΕΠΙΧΕΙΡΗΣΗ ΠΑΡΟΧΗΣ ΥΠΗΡΕΣΙΩΝ</t>
  </si>
  <si>
    <t xml:space="preserve">ΚΤ προμηθευτών= κόστος πωληθέντων/Μ.Ο. εμπορ. Υποχρεώσεων = </t>
  </si>
  <si>
    <t>Μετοχικό κεφάλαιο</t>
  </si>
  <si>
    <t>Αποτελέσματα εις νέον</t>
  </si>
  <si>
    <t>Μ.Ο. προμηθευτών = (73371+55755)/2</t>
  </si>
  <si>
    <t>Σύνολο Ιδίων Κεφαλαίων</t>
  </si>
  <si>
    <t>Μακροπρόθεσμο δάνειο</t>
  </si>
  <si>
    <t>Διάρκεια προμηθευτών</t>
  </si>
  <si>
    <t>Βραχυπρόθεσμο Δάνειο</t>
  </si>
  <si>
    <t>Προμηθευτές</t>
  </si>
  <si>
    <t>εισπράττει στις 211,85 ημέρες, πληρώνει στις278,85 άρα απολαμβάνει μεγαλύτερη πίστωση χρόνου</t>
  </si>
  <si>
    <t>Σύνολο Βραχ. Υποχρ</t>
  </si>
  <si>
    <t>από τους προμηθευτές της , από αυτή που χορηγεί στους πελάτες της</t>
  </si>
  <si>
    <t>Σύνολο υποχρεώσεων</t>
  </si>
  <si>
    <t>Δεν υπολογίζεται ΚΤ αποθεμάτων διότι η επιχείρηση είναι Π.Υ και τα αποθέματα αποτελούν μικρή αξία στον ισολογισμό της</t>
  </si>
  <si>
    <t>έλλειψη ρευστότητας</t>
  </si>
  <si>
    <t>ΚΤ απαιτήσεων &gt; ΚΤ προμηθευτών</t>
  </si>
  <si>
    <t>Πάγιο ενεργητικό</t>
  </si>
  <si>
    <t>Κυκλοφορούν ενεργητικό</t>
  </si>
  <si>
    <t>Σύνολο ενεργητικού</t>
  </si>
  <si>
    <t>ΑΣΚ= ΚΑΘ ΚΕΡΔΗ/Μ.Ο. ΕΝΕΡΓ</t>
  </si>
  <si>
    <t>ικανοπ</t>
  </si>
  <si>
    <t>Αποθεματικά</t>
  </si>
  <si>
    <t>ΑΠΟΔΟΤΙΚΟΤΗΤΑ ΠΩΛΗΣΕΩΝ = ΚΑΘ. ΚΕΡΔΗ/ΠΩΛΗΣΕΙΣ</t>
  </si>
  <si>
    <t>Μακροχρόνιες Υποχρεώσεις</t>
  </si>
  <si>
    <t>ΚΥΚΛ. ΤΑΧ ΕΝΕΡΓΗΤΙΚΟΥ = ΠΩΛΗΣΕΙΣ/Μ.Ο ΕΝΕΡΓ</t>
  </si>
  <si>
    <t>ΦΟΡΕΣ</t>
  </si>
  <si>
    <t>κλάδος</t>
  </si>
  <si>
    <t>Βραχυχρόνιες Υποχρεώσεις</t>
  </si>
  <si>
    <t>ΣΥΝΘ ΑΠΟΔ ΣΥΝΟΛΙΚΩΝ ΚΕΦΑΛΑΙΩΝ =</t>
  </si>
  <si>
    <t xml:space="preserve">Σύνολο Παθητικού </t>
  </si>
  <si>
    <t>ΑΠΟΔ. ΠΩΛΗΣΕΩΝ χ ΚΥΚΛ. ΤΑΧ ΕΝΕΡΓΗΤΙΚΟΥ</t>
  </si>
  <si>
    <t>ΑΠΟΔ. Ι.Κ. =ΚΑΘ. ΚΕΡΔΗ/Ι.Κ</t>
  </si>
  <si>
    <t>υψηλός</t>
  </si>
  <si>
    <t>Κέρδη μετά από φόρους</t>
  </si>
  <si>
    <t>ΣΥΝΘ. ΑΠΟΔ. ΙΔΙΩΝ ΚΕΦ (ROE) =</t>
  </si>
  <si>
    <t>ΑΠΟΔ. ΠΩΛ χ ΚΤ ΕΝΕΡΓ χ ΧΡΗΜ/ΚΗ ΜΟΧΛ</t>
  </si>
  <si>
    <t>ΧΡΗΜ/ΚΗ ΜΟΧΛΕΥΣΗ = ΣΥΝΟΛΟ ΕΝΕΡΓ/Ι.Κ.</t>
  </si>
  <si>
    <r>
      <t>Αποδοτικότητα καθ Ενεργ (ROCE)= ΚΑΘ. ΚΕΡΔΗ/</t>
    </r>
    <r>
      <rPr>
        <sz val="11"/>
        <color rgb="FFFF0000"/>
        <rFont val="Calibri"/>
        <family val="2"/>
        <charset val="161"/>
        <scheme val="minor"/>
      </rPr>
      <t xml:space="preserve">ΙΚ+ΜΥ </t>
    </r>
  </si>
  <si>
    <t>Ενεργητικό</t>
  </si>
  <si>
    <t>Κτίρια</t>
  </si>
  <si>
    <t>Πάγιο ενεργ</t>
  </si>
  <si>
    <t>Εμπορεύματ</t>
  </si>
  <si>
    <t>ΑΣΚ = ΚΑΘ ΚΕΡΔΗ/ΣΥΝΟΛΟ ΕΝΕΡΓ</t>
  </si>
  <si>
    <t>ικανοποιητικός</t>
  </si>
  <si>
    <t>Προκ. Προμ</t>
  </si>
  <si>
    <t>ΑΚΕ (ROCE) =ΚΑΘ. ΚΕΡΔΗ/ΙΚ+ΜΥ</t>
  </si>
  <si>
    <t>Λοιπές απαιτ</t>
  </si>
  <si>
    <t>ΑΙΚ = ΚΑΘ.ΚΕΡΔΗ/Μ.Ο. ΙΚ</t>
  </si>
  <si>
    <t>(έχω και υψηλή μόχλευση)</t>
  </si>
  <si>
    <t>Κυκλ. Ενεργ</t>
  </si>
  <si>
    <t>ΑΙΚ = ΑΣΚχ ΔΧΜ</t>
  </si>
  <si>
    <t>ΑΠΟΔ ΠΩΛΗΣΕΩΝ = ΚΑΘ. ΚΕΡΔΗ/ΠΩΛΗΣΕΙΣ</t>
  </si>
  <si>
    <t>καλή - κλάδος;</t>
  </si>
  <si>
    <t>ΚΤ ΕΝΕΡΓΗΤΙΚΟΥ = ΠΩΛ/ΣΥΝΟΛΟ ΕΝΕΡΓ</t>
  </si>
  <si>
    <t>πολύ υψηλή</t>
  </si>
  <si>
    <t>Παθητικό</t>
  </si>
  <si>
    <t>ΔΕΙΚΤΗΣ ΧΡΗΜ/ΚΗΣ ΜΟΧΛΕΥΣΗΣ=</t>
  </si>
  <si>
    <t>Μετοχ. Κεφ</t>
  </si>
  <si>
    <t>ΣΥΝΟΛΟ ΕΝΕΡΓΗΤΙΚΟΥ/ΙΔΙΑ ΚΕΦΑΛΑΙΑ</t>
  </si>
  <si>
    <t xml:space="preserve">υψηλός </t>
  </si>
  <si>
    <t>αποθεματικά</t>
  </si>
  <si>
    <t>Ίδια κεφάλαια</t>
  </si>
  <si>
    <t>Μακροχρ. δάνειο</t>
  </si>
  <si>
    <t>´Η ονομαστική τιμή της μετοχής αν υπάρχουν 10000 μετοχές</t>
  </si>
  <si>
    <t>Μακρ. Υποχρ</t>
  </si>
  <si>
    <t>´Η εσωτερική λογιστική αξία της μετοχής</t>
  </si>
  <si>
    <t>´Τα κέρδη ανά μετοχή</t>
  </si>
  <si>
    <t>Γραμμ. Πληρωτ</t>
  </si>
  <si>
    <t>´Το Ρ/Ε ratio αν η χρηματιστηριακή τιμή της μετοχής είναι 4€</t>
  </si>
  <si>
    <t>Προκατ. Πελατών</t>
  </si>
  <si>
    <t>´Την εκτιμώμενη χρηματιστηριακή τιμή της μετοχής, αν το Ρ/Ε ΄του κλάδου είναι 5</t>
  </si>
  <si>
    <t>Έξοδα πληρωτ</t>
  </si>
  <si>
    <t>´Το μέρισμα ανά μετοχή</t>
  </si>
  <si>
    <t>Μερίσματα πληρ</t>
  </si>
  <si>
    <t>´Τη μερισματική απόδοση</t>
  </si>
  <si>
    <t>Βραχυπρ. Υποχρ</t>
  </si>
  <si>
    <t>´Τη μερισματική πολιτική (ποσοστό διανεμόμενων κερδών)</t>
  </si>
  <si>
    <t xml:space="preserve">ονομαστική τιμή = μετοχικό κεφάλαιο/ αριθμός μετοχών </t>
  </si>
  <si>
    <t>ευρώ</t>
  </si>
  <si>
    <t xml:space="preserve">λογιστική αξία μετοχής = Ι.Κ/αριθμός μετοχών </t>
  </si>
  <si>
    <t>κέρδη ανά μετοχή= καθ. Κέρδη/ αριθμός μετοχών</t>
  </si>
  <si>
    <t>σχέση χρηματιστηριακής τιμής προς λογιστικής αξίας μετοχής</t>
  </si>
  <si>
    <t>Κόστος πωληθέντων</t>
  </si>
  <si>
    <t>P/E = χρηματιστηριακή τιμή /κέρδη ανά μετοχή</t>
  </si>
  <si>
    <t>για χρημ. Τιμή 4</t>
  </si>
  <si>
    <t>Έξοδα διοικητικής λειτουργίας</t>
  </si>
  <si>
    <t>εκτιμώμενη χρηματιστηριακή τιμή της μετοχής</t>
  </si>
  <si>
    <t>P/E κλάδου =χρημ. Τιμή/ΚΑΜ</t>
  </si>
  <si>
    <t>Έξοδα λειτουργίας διάθεσης</t>
  </si>
  <si>
    <t>Λειτουργικό αποτέλεσμα</t>
  </si>
  <si>
    <t>κεφαλαιοποίηση (χρηματιστηρ. Αξία) = χρηματ. Τιμή χ αρθ. Μετ</t>
  </si>
  <si>
    <t>Μέρισμα ανά μετοχή = μερίσματα /αριθμός μετοχών</t>
  </si>
  <si>
    <t>Κέρδη χρήσεως</t>
  </si>
  <si>
    <t>Φόρος Εισοδήματος</t>
  </si>
  <si>
    <t>μερισματική απόδοση= μέρισμα ανά μετοχή/ χρηματιστηριακή τιμή</t>
  </si>
  <si>
    <t>Καθαρά κέρδη</t>
  </si>
  <si>
    <t>μερισματική πολιτική (ποσοστό διανεμόμενων κερδών =μερίσματα/κέρδη μετά φόρων ή ΜΑΜ/ΚΑΜ</t>
  </si>
  <si>
    <t>ΑΣΚ</t>
  </si>
  <si>
    <t>ΑΙΚ</t>
  </si>
  <si>
    <t>ΑΠΟΔΟΤ ΠΩΛΗΣΕΩΝ</t>
  </si>
  <si>
    <t>ΚΤ ΕΝΕΡΓΗΤΙΚΟΥ = ΠΩΛ/ΕΝ</t>
  </si>
  <si>
    <t>ΛΙΜΑΝΙ ΗΡΑΚΛΕΙΟΥ 2018</t>
  </si>
  <si>
    <t>ΑΠΟΔ. ΚΑΘ ΕΝΕΡΓ</t>
  </si>
  <si>
    <t>σύγκριση με τον κλάδο</t>
  </si>
  <si>
    <t>ΕΠΙΧΕΙΡΗΣΗ ΩΜΕΓΑ</t>
  </si>
  <si>
    <t xml:space="preserve"> ΕΠΙΧΕΙΡΗΣΗ ΥΨΙΛΟΝ</t>
  </si>
  <si>
    <t>ΕΠΙΧΕΙΡΗΣΗ ΣΙΘΩΝΙΑ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</si>
</sst>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0.0"/>
    <numFmt numFmtId="165" formatCode="_-* #,##0\ _€_-;\-* #,##0\ _€_-;_-* &quot;-&quot;??\ _€_-;_-@_-"/>
    <numFmt numFmtId="166" formatCode="0.0%"/>
    <numFmt numFmtId="167" formatCode="0.000%"/>
  </numFmts>
  <fonts count="12" x14ac:knownFonts="1">
    <font>
      <sz val="11"/>
      <color theme="1"/>
      <name val="Calibri"/>
      <family val="2"/>
      <charset val="161"/>
      <scheme val="minor"/>
    </font>
    <font>
      <b/>
      <sz val="12"/>
      <color theme="1"/>
      <name val="Times New Roman"/>
      <family val="1"/>
      <charset val="161"/>
    </font>
    <font>
      <sz val="12"/>
      <color theme="1"/>
      <name val="Times New Roman"/>
      <family val="1"/>
      <charset val="161"/>
    </font>
    <font>
      <b/>
      <sz val="11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z val="16"/>
      <color rgb="FF000000"/>
      <name val="Arial"/>
      <family val="2"/>
      <charset val="161"/>
    </font>
    <font>
      <b/>
      <sz val="16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rgb="FF7030A0"/>
      <name val="Calibri"/>
      <family val="2"/>
      <charset val="161"/>
      <scheme val="minor"/>
    </font>
    <font>
      <i/>
      <sz val="11"/>
      <color rgb="FFFF0000"/>
      <name val="Calibri"/>
      <family val="2"/>
      <charset val="161"/>
      <scheme val="minor"/>
    </font>
    <font>
      <sz val="11"/>
      <color theme="3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2" fillId="0" borderId="1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>
      <alignment horizontal="left" vertical="center" indent="4" readingOrder="1"/>
    </xf>
    <xf numFmtId="0" fontId="3" fillId="0" borderId="0" xfId="0" applyFont="1"/>
    <xf numFmtId="0" fontId="3" fillId="2" borderId="0" xfId="0" applyFont="1" applyFill="1"/>
    <xf numFmtId="0" fontId="0" fillId="0" borderId="0" xfId="0" applyFont="1"/>
    <xf numFmtId="0" fontId="0" fillId="0" borderId="0" xfId="0" applyAlignment="1">
      <alignment wrapText="1"/>
    </xf>
    <xf numFmtId="2" fontId="0" fillId="0" borderId="0" xfId="0" applyNumberFormat="1"/>
    <xf numFmtId="0" fontId="6" fillId="0" borderId="0" xfId="0" applyFont="1"/>
    <xf numFmtId="2" fontId="0" fillId="2" borderId="0" xfId="0" applyNumberFormat="1" applyFill="1"/>
    <xf numFmtId="0" fontId="0" fillId="2" borderId="0" xfId="0" applyFill="1"/>
    <xf numFmtId="0" fontId="3" fillId="0" borderId="0" xfId="0" applyFont="1" applyAlignment="1">
      <alignment horizontal="center"/>
    </xf>
    <xf numFmtId="165" fontId="0" fillId="0" borderId="0" xfId="1" applyNumberFormat="1" applyFont="1"/>
    <xf numFmtId="0" fontId="0" fillId="3" borderId="0" xfId="0" applyFill="1"/>
    <xf numFmtId="2" fontId="9" fillId="3" borderId="0" xfId="0" applyNumberFormat="1" applyFont="1" applyFill="1"/>
    <xf numFmtId="0" fontId="10" fillId="0" borderId="0" xfId="0" applyFont="1"/>
    <xf numFmtId="165" fontId="10" fillId="0" borderId="0" xfId="1" applyNumberFormat="1" applyFont="1"/>
    <xf numFmtId="1" fontId="0" fillId="3" borderId="0" xfId="0" applyNumberFormat="1" applyFill="1"/>
    <xf numFmtId="0" fontId="0" fillId="3" borderId="2" xfId="0" applyFill="1" applyBorder="1"/>
    <xf numFmtId="0" fontId="0" fillId="3" borderId="3" xfId="0" applyFill="1" applyBorder="1"/>
    <xf numFmtId="2" fontId="9" fillId="3" borderId="4" xfId="0" applyNumberFormat="1" applyFont="1" applyFill="1" applyBorder="1"/>
    <xf numFmtId="165" fontId="3" fillId="0" borderId="0" xfId="1" applyNumberFormat="1" applyFont="1"/>
    <xf numFmtId="0" fontId="8" fillId="4" borderId="0" xfId="0" applyFont="1" applyFill="1"/>
    <xf numFmtId="0" fontId="0" fillId="4" borderId="0" xfId="0" applyFill="1"/>
    <xf numFmtId="43" fontId="9" fillId="4" borderId="0" xfId="0" applyNumberFormat="1" applyFont="1" applyFill="1"/>
    <xf numFmtId="0" fontId="0" fillId="4" borderId="2" xfId="0" applyFill="1" applyBorder="1"/>
    <xf numFmtId="0" fontId="0" fillId="4" borderId="3" xfId="0" applyFill="1" applyBorder="1"/>
    <xf numFmtId="43" fontId="9" fillId="4" borderId="4" xfId="0" applyNumberFormat="1" applyFont="1" applyFill="1" applyBorder="1"/>
    <xf numFmtId="0" fontId="0" fillId="4" borderId="0" xfId="0" applyFill="1" applyBorder="1"/>
    <xf numFmtId="165" fontId="0" fillId="0" borderId="0" xfId="0" applyNumberFormat="1"/>
    <xf numFmtId="0" fontId="1" fillId="2" borderId="0" xfId="0" applyFont="1" applyFill="1"/>
    <xf numFmtId="3" fontId="0" fillId="0" borderId="0" xfId="0" applyNumberFormat="1"/>
    <xf numFmtId="10" fontId="0" fillId="0" borderId="0" xfId="2" applyNumberFormat="1" applyFont="1"/>
    <xf numFmtId="0" fontId="0" fillId="0" borderId="0" xfId="0" applyAlignment="1">
      <alignment vertical="center" wrapText="1"/>
    </xf>
    <xf numFmtId="10" fontId="11" fillId="0" borderId="0" xfId="2" applyNumberFormat="1" applyFont="1"/>
    <xf numFmtId="0" fontId="11" fillId="0" borderId="0" xfId="0" applyFont="1"/>
    <xf numFmtId="2" fontId="11" fillId="0" borderId="0" xfId="2" applyNumberFormat="1" applyFont="1"/>
    <xf numFmtId="10" fontId="0" fillId="0" borderId="0" xfId="0" applyNumberFormat="1"/>
    <xf numFmtId="2" fontId="0" fillId="0" borderId="0" xfId="2" applyNumberFormat="1" applyFont="1"/>
    <xf numFmtId="0" fontId="0" fillId="5" borderId="0" xfId="0" applyFill="1"/>
    <xf numFmtId="0" fontId="8" fillId="2" borderId="0" xfId="0" applyFont="1" applyFill="1"/>
    <xf numFmtId="0" fontId="0" fillId="6" borderId="0" xfId="0" applyFill="1"/>
    <xf numFmtId="0" fontId="8" fillId="0" borderId="0" xfId="0" applyFont="1"/>
    <xf numFmtId="166" fontId="0" fillId="0" borderId="0" xfId="2" applyNumberFormat="1" applyFont="1"/>
    <xf numFmtId="9" fontId="0" fillId="0" borderId="0" xfId="2" applyFont="1"/>
    <xf numFmtId="167" fontId="0" fillId="0" borderId="0" xfId="2" applyNumberFormat="1" applyFont="1"/>
    <xf numFmtId="164" fontId="2" fillId="2" borderId="0" xfId="0" applyNumberFormat="1" applyFont="1" applyFill="1"/>
    <xf numFmtId="1" fontId="2" fillId="2" borderId="0" xfId="0" applyNumberFormat="1" applyFont="1" applyFill="1"/>
    <xf numFmtId="0" fontId="2" fillId="2" borderId="0" xfId="0" applyFont="1" applyFill="1"/>
    <xf numFmtId="2" fontId="2" fillId="2" borderId="0" xfId="0" applyNumberFormat="1" applyFont="1" applyFill="1"/>
    <xf numFmtId="0" fontId="3" fillId="2" borderId="0" xfId="0" applyFont="1" applyFill="1" applyAlignment="1">
      <alignment horizontal="right" vertical="center"/>
    </xf>
  </cellXfs>
  <cellStyles count="3">
    <cellStyle name="Κανονικό" xfId="0" builtinId="0"/>
    <cellStyle name="Κόμμα" xfId="1" builtinId="3"/>
    <cellStyle name="Ποσοστό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</xdr:row>
      <xdr:rowOff>19050</xdr:rowOff>
    </xdr:from>
    <xdr:to>
      <xdr:col>3</xdr:col>
      <xdr:colOff>2200275</xdr:colOff>
      <xdr:row>10</xdr:row>
      <xdr:rowOff>123825</xdr:rowOff>
    </xdr:to>
    <xdr:sp macro="" textlink="">
      <xdr:nvSpPr>
        <xdr:cNvPr id="2" name="TextBox 1"/>
        <xdr:cNvSpPr txBox="1"/>
      </xdr:nvSpPr>
      <xdr:spPr>
        <a:xfrm>
          <a:off x="209550" y="619125"/>
          <a:ext cx="6238875" cy="1504950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100"/>
            <a:t>Δίνονται</a:t>
          </a:r>
          <a:r>
            <a:rPr lang="el-GR" sz="1100" baseline="0"/>
            <a:t> οι Ισολογισμοί του 2018 και 2019 καθώς και η ΚΑΧ του 2019. </a:t>
          </a:r>
        </a:p>
        <a:p>
          <a:r>
            <a:rPr lang="el-GR" sz="1100" baseline="0"/>
            <a:t>Ζητούνται: </a:t>
          </a:r>
        </a:p>
        <a:p>
          <a:r>
            <a:rPr lang="el-GR" sz="1100" baseline="0"/>
            <a:t>1)  η κυκλ.ταχ. και η διάρκεια των αποθεμάτων, των απαιτήσεων, των προμηθευτών. </a:t>
          </a:r>
        </a:p>
        <a:p>
          <a:r>
            <a:rPr lang="el-GR" sz="1100" baseline="0"/>
            <a:t>2) Ο εμπορικός και ο λειτουργικός κύκλος</a:t>
          </a:r>
        </a:p>
        <a:p>
          <a:r>
            <a:rPr lang="el-GR" sz="1100" baseline="0"/>
            <a:t>3) το κεφάλαιο κίνησης</a:t>
          </a:r>
        </a:p>
        <a:p>
          <a:r>
            <a:rPr lang="el-GR" sz="1100" baseline="0"/>
            <a:t>4) η έμμεση, η άμεση και η ταμειακή ρευστότητα </a:t>
          </a:r>
        </a:p>
        <a:p>
          <a:endParaRPr lang="el-GR" sz="1100" baseline="0"/>
        </a:p>
        <a:p>
          <a:endParaRPr lang="el-G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</xdr:row>
      <xdr:rowOff>166688</xdr:rowOff>
    </xdr:from>
    <xdr:to>
      <xdr:col>4</xdr:col>
      <xdr:colOff>1492250</xdr:colOff>
      <xdr:row>6</xdr:row>
      <xdr:rowOff>174625</xdr:rowOff>
    </xdr:to>
    <xdr:sp macro="" textlink="">
      <xdr:nvSpPr>
        <xdr:cNvPr id="2" name="TextBox 1"/>
        <xdr:cNvSpPr txBox="1"/>
      </xdr:nvSpPr>
      <xdr:spPr>
        <a:xfrm>
          <a:off x="801688" y="357188"/>
          <a:ext cx="5167312" cy="960437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100"/>
            <a:t>Για</a:t>
          </a:r>
          <a:r>
            <a:rPr lang="el-GR" sz="1100" baseline="0"/>
            <a:t> την επιχείρηση ΑΛΦΑ να υπολογίσετε:</a:t>
          </a:r>
        </a:p>
        <a:p>
          <a:r>
            <a:rPr lang="el-GR" sz="1100" baseline="0"/>
            <a:t>1) κεφάλαιο κίνησης, έμμεση, άμεση και ταμειακή ρευστότητα</a:t>
          </a:r>
        </a:p>
        <a:p>
          <a:r>
            <a:rPr lang="el-GR" sz="1100" baseline="0"/>
            <a:t>2) το αμυντικό διάστημα</a:t>
          </a:r>
          <a:endParaRPr lang="el-G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847725</xdr:colOff>
      <xdr:row>11</xdr:row>
      <xdr:rowOff>114300</xdr:rowOff>
    </xdr:from>
    <xdr:to>
      <xdr:col>6</xdr:col>
      <xdr:colOff>533400</xdr:colOff>
      <xdr:row>16</xdr:row>
      <xdr:rowOff>95250</xdr:rowOff>
    </xdr:to>
    <xdr:cxnSp macro="">
      <xdr:nvCxnSpPr>
        <xdr:cNvPr id="2" name="Ευθύγραμμο βέλος σύνδεσης 1"/>
        <xdr:cNvCxnSpPr/>
      </xdr:nvCxnSpPr>
      <xdr:spPr>
        <a:xfrm>
          <a:off x="4657725" y="1257300"/>
          <a:ext cx="1323975" cy="933450"/>
        </a:xfrm>
        <a:prstGeom prst="straightConnector1">
          <a:avLst/>
        </a:prstGeom>
        <a:ln w="254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390525</xdr:colOff>
      <xdr:row>1</xdr:row>
      <xdr:rowOff>133350</xdr:rowOff>
    </xdr:from>
    <xdr:to>
      <xdr:col>10</xdr:col>
      <xdr:colOff>219075</xdr:colOff>
      <xdr:row>5</xdr:row>
      <xdr:rowOff>95250</xdr:rowOff>
    </xdr:to>
    <xdr:sp macro="" textlink="">
      <xdr:nvSpPr>
        <xdr:cNvPr id="3" name="TextBox 2"/>
        <xdr:cNvSpPr txBox="1"/>
      </xdr:nvSpPr>
      <xdr:spPr>
        <a:xfrm>
          <a:off x="1609725" y="323850"/>
          <a:ext cx="6867525" cy="723900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100"/>
            <a:t>´Να υπολογίσετε και να σχολιάσετε τους αριθμοδείκτες ΚΤ απαιτήσεων και προμηθευτών </a:t>
          </a:r>
        </a:p>
        <a:p>
          <a:r>
            <a:rPr lang="el-GR" sz="1100"/>
            <a:t>´Σας δίνεται ότι οι πωλήσεις της επιχείρησης ανήλθαν σε 83457 και το κόστος πωληθέντων σε 84510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</xdr:row>
      <xdr:rowOff>47624</xdr:rowOff>
    </xdr:from>
    <xdr:to>
      <xdr:col>6</xdr:col>
      <xdr:colOff>76200</xdr:colOff>
      <xdr:row>9</xdr:row>
      <xdr:rowOff>95249</xdr:rowOff>
    </xdr:to>
    <xdr:sp macro="" textlink="">
      <xdr:nvSpPr>
        <xdr:cNvPr id="2" name="TextBox 1"/>
        <xdr:cNvSpPr txBox="1"/>
      </xdr:nvSpPr>
      <xdr:spPr>
        <a:xfrm>
          <a:off x="381000" y="428624"/>
          <a:ext cx="4486275" cy="138112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100"/>
            <a:t>Να υπολογίσετε για την ΥΨΙΛΟΝ:</a:t>
          </a:r>
        </a:p>
        <a:p>
          <a:r>
            <a:rPr lang="el-GR" sz="1100"/>
            <a:t>τον αριθμοδείκτη αποδοτικότητας συνολικών κεφαλαίων (ενεργητικού),  τον αριθμοδείκτη αποδοτικότητας καθαρών απασχολούμενων κεφαλαίων (καθαρού ενεργητικού), </a:t>
          </a:r>
        </a:p>
        <a:p>
          <a:r>
            <a:rPr lang="el-GR" sz="1100"/>
            <a:t>την αποδοτικότητα πωλήσεων, </a:t>
          </a:r>
        </a:p>
        <a:p>
          <a:r>
            <a:rPr lang="el-GR" sz="1100"/>
            <a:t>την κυκλοφοριακή ταχύτητα του ενεργητικού και </a:t>
          </a:r>
        </a:p>
        <a:p>
          <a:r>
            <a:rPr lang="el-GR" sz="1100"/>
            <a:t>τον σύνθετο αριθμοδείκτη αποδοτικότητας συνολικών κεφαλαίων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317500</xdr:colOff>
      <xdr:row>1</xdr:row>
      <xdr:rowOff>166688</xdr:rowOff>
    </xdr:from>
    <xdr:to>
      <xdr:col>5</xdr:col>
      <xdr:colOff>444500</xdr:colOff>
      <xdr:row>12</xdr:row>
      <xdr:rowOff>0</xdr:rowOff>
    </xdr:to>
    <xdr:sp macro="" textlink="">
      <xdr:nvSpPr>
        <xdr:cNvPr id="2" name="TextBox 1"/>
        <xdr:cNvSpPr txBox="1"/>
      </xdr:nvSpPr>
      <xdr:spPr>
        <a:xfrm>
          <a:off x="317500" y="357188"/>
          <a:ext cx="4651375" cy="1928812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Για</a:t>
          </a:r>
          <a:r>
            <a:rPr lang="el-G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την επιχείρηση ΣΙΘΩΝΙΑ να υπολογίσετε:</a:t>
          </a:r>
          <a:endParaRPr lang="el-G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l-G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´Αποδοτικότητα Συνολικών Κεφαλαίων</a:t>
          </a:r>
          <a:r>
            <a:rPr lang="el-GR"/>
            <a:t> </a:t>
          </a:r>
        </a:p>
        <a:p>
          <a:r>
            <a:rPr lang="el-G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´Αποδοτικότητα Συνολικών Κεφαλαίων</a:t>
          </a:r>
          <a:r>
            <a:rPr lang="el-GR"/>
            <a:t> </a:t>
          </a:r>
          <a:endParaRPr lang="el-G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´Αποδοτικότητα Καθαρού Ενεργητικού</a:t>
          </a:r>
          <a:r>
            <a:rPr lang="el-GR"/>
            <a:t> </a:t>
          </a:r>
          <a:r>
            <a:rPr lang="el-G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l-GR"/>
            <a:t> </a:t>
          </a:r>
        </a:p>
        <a:p>
          <a:r>
            <a:rPr lang="el-G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´Αποδοτικότητα Ιδίων Κεφαλαίων</a:t>
          </a:r>
          <a:r>
            <a:rPr lang="el-GR"/>
            <a:t> </a:t>
          </a:r>
          <a:r>
            <a:rPr lang="el-G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l-GR"/>
            <a:t> </a:t>
          </a:r>
        </a:p>
        <a:p>
          <a:r>
            <a:rPr lang="el-G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´Αποδοτικότητα Πωλήσεων</a:t>
          </a:r>
          <a:r>
            <a:rPr lang="el-GR"/>
            <a:t> </a:t>
          </a:r>
          <a:r>
            <a:rPr lang="el-G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l-GR"/>
            <a:t> </a:t>
          </a:r>
          <a:r>
            <a:rPr lang="el-G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´Κυκλοφοριακή ταχύτητα Ενεργητικού</a:t>
          </a:r>
          <a:r>
            <a:rPr lang="el-GR"/>
            <a:t> </a:t>
          </a:r>
          <a:r>
            <a:rPr lang="el-G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l-GR"/>
            <a:t> </a:t>
          </a:r>
        </a:p>
        <a:p>
          <a:r>
            <a:rPr lang="el-G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´Δείκτης Χρηματοοικονομικής Μόχλευσης</a:t>
          </a:r>
          <a:r>
            <a:rPr lang="el-GR"/>
            <a:t> </a:t>
          </a:r>
          <a:endParaRPr lang="el-GR" sz="1100"/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1"/>
  <sheetViews>
    <sheetView tabSelected="1" workbookViewId="0">
      <selection activeCell="A5" sqref="A5"/>
    </sheetView>
  </sheetViews>
  <sheetFormatPr defaultRowHeight="15.75" x14ac:dyDescent="0.25"/>
  <cols>
    <col min="1" max="1" width="32.42578125" style="2" customWidth="1"/>
    <col min="2" max="2" width="11.5703125" style="2" customWidth="1"/>
    <col min="3" max="3" width="19.7109375" style="2" customWidth="1"/>
    <col min="4" max="4" width="44.7109375" style="2" customWidth="1"/>
    <col min="5" max="5" width="14" style="2" customWidth="1"/>
    <col min="6" max="6" width="4.85546875" style="2" customWidth="1"/>
    <col min="7" max="7" width="9.5703125" style="2" bestFit="1" customWidth="1"/>
    <col min="8" max="16384" width="9.140625" style="2"/>
  </cols>
  <sheetData>
    <row r="2" spans="1:4" x14ac:dyDescent="0.25">
      <c r="A2" s="37" t="s">
        <v>121</v>
      </c>
    </row>
    <row r="15" spans="1:4" x14ac:dyDescent="0.25">
      <c r="A15" s="1" t="s">
        <v>0</v>
      </c>
      <c r="B15" s="1">
        <v>2018</v>
      </c>
      <c r="C15" s="1">
        <v>2019</v>
      </c>
    </row>
    <row r="16" spans="1:4" ht="31.5" x14ac:dyDescent="0.25">
      <c r="A16" s="7" t="s">
        <v>1</v>
      </c>
      <c r="D16" s="6" t="s">
        <v>54</v>
      </c>
    </row>
    <row r="17" spans="1:7" x14ac:dyDescent="0.25">
      <c r="A17" s="2" t="s">
        <v>33</v>
      </c>
    </row>
    <row r="18" spans="1:7" ht="31.5" x14ac:dyDescent="0.25">
      <c r="A18" s="2" t="s">
        <v>2</v>
      </c>
      <c r="B18" s="2">
        <v>35000</v>
      </c>
      <c r="C18" s="2">
        <v>35000</v>
      </c>
      <c r="D18" s="3" t="s">
        <v>51</v>
      </c>
      <c r="E18" s="6" t="s">
        <v>46</v>
      </c>
      <c r="F18" s="53">
        <f>83000/((14000+9000)/2)</f>
        <v>7.2173913043478262</v>
      </c>
      <c r="G18" s="2" t="s">
        <v>47</v>
      </c>
    </row>
    <row r="19" spans="1:7" x14ac:dyDescent="0.25">
      <c r="A19" s="2" t="s">
        <v>3</v>
      </c>
      <c r="B19" s="2">
        <v>-7000</v>
      </c>
      <c r="C19" s="2">
        <v>-11000</v>
      </c>
    </row>
    <row r="20" spans="1:7" x14ac:dyDescent="0.25">
      <c r="A20" s="2" t="s">
        <v>4</v>
      </c>
      <c r="B20" s="2">
        <v>6000</v>
      </c>
      <c r="C20" s="2">
        <v>17000</v>
      </c>
      <c r="D20" s="2" t="s">
        <v>48</v>
      </c>
      <c r="E20" s="2" t="s">
        <v>49</v>
      </c>
      <c r="F20" s="54">
        <f>365/F18</f>
        <v>50.572289156626503</v>
      </c>
      <c r="G20" s="2" t="s">
        <v>50</v>
      </c>
    </row>
    <row r="21" spans="1:7" x14ac:dyDescent="0.25">
      <c r="A21" s="2" t="s">
        <v>5</v>
      </c>
      <c r="B21" s="4">
        <v>-4000</v>
      </c>
      <c r="C21" s="4">
        <v>-6000</v>
      </c>
    </row>
    <row r="22" spans="1:7" ht="31.5" x14ac:dyDescent="0.25">
      <c r="A22" s="1" t="s">
        <v>6</v>
      </c>
      <c r="B22" s="1">
        <f>SUM(B18:B21)</f>
        <v>30000</v>
      </c>
      <c r="C22" s="1">
        <f>SUM(C18:C21)</f>
        <v>35000</v>
      </c>
      <c r="D22" s="6" t="s">
        <v>53</v>
      </c>
    </row>
    <row r="23" spans="1:7" ht="47.25" x14ac:dyDescent="0.25">
      <c r="A23" s="6" t="s">
        <v>7</v>
      </c>
      <c r="D23" s="2" t="s">
        <v>52</v>
      </c>
      <c r="E23" s="6" t="s">
        <v>55</v>
      </c>
      <c r="F23" s="53">
        <f>110000/((22000+16000)/2)</f>
        <v>5.7894736842105265</v>
      </c>
      <c r="G23" s="2" t="s">
        <v>47</v>
      </c>
    </row>
    <row r="24" spans="1:7" x14ac:dyDescent="0.25">
      <c r="A24" s="2" t="s">
        <v>8</v>
      </c>
      <c r="B24" s="2">
        <v>15000</v>
      </c>
      <c r="C24" s="2">
        <v>10000</v>
      </c>
    </row>
    <row r="25" spans="1:7" x14ac:dyDescent="0.25">
      <c r="A25" s="1" t="s">
        <v>9</v>
      </c>
      <c r="B25" s="1">
        <f>B22+B24</f>
        <v>45000</v>
      </c>
      <c r="C25" s="1">
        <f>C22+C24</f>
        <v>45000</v>
      </c>
      <c r="D25" s="2" t="s">
        <v>56</v>
      </c>
      <c r="E25" s="2" t="s">
        <v>57</v>
      </c>
      <c r="F25" s="55">
        <f>365/F23</f>
        <v>63.04545454545454</v>
      </c>
      <c r="G25" s="2" t="s">
        <v>50</v>
      </c>
    </row>
    <row r="26" spans="1:7" ht="31.5" x14ac:dyDescent="0.25">
      <c r="A26" s="7" t="s">
        <v>10</v>
      </c>
    </row>
    <row r="27" spans="1:7" ht="31.5" x14ac:dyDescent="0.25">
      <c r="A27" s="2" t="s">
        <v>11</v>
      </c>
      <c r="D27" s="6" t="s">
        <v>58</v>
      </c>
    </row>
    <row r="28" spans="1:7" x14ac:dyDescent="0.25">
      <c r="A28" s="2" t="s">
        <v>12</v>
      </c>
      <c r="B28" s="2">
        <v>9000</v>
      </c>
      <c r="C28" s="2">
        <v>14000</v>
      </c>
    </row>
    <row r="29" spans="1:7" ht="31.5" x14ac:dyDescent="0.25">
      <c r="A29" s="2" t="s">
        <v>13</v>
      </c>
      <c r="B29" s="2">
        <v>5000</v>
      </c>
      <c r="C29" s="2">
        <v>3000</v>
      </c>
      <c r="D29" s="6" t="s">
        <v>59</v>
      </c>
    </row>
    <row r="30" spans="1:7" x14ac:dyDescent="0.25">
      <c r="A30" s="2" t="s">
        <v>6</v>
      </c>
      <c r="B30" s="2">
        <f>SUM(B28:B29)</f>
        <v>14000</v>
      </c>
      <c r="C30" s="2">
        <f>SUM(C28:C29)</f>
        <v>17000</v>
      </c>
      <c r="D30" s="2" t="s">
        <v>60</v>
      </c>
    </row>
    <row r="31" spans="1:7" ht="31.5" x14ac:dyDescent="0.25">
      <c r="A31" s="6" t="s">
        <v>14</v>
      </c>
    </row>
    <row r="32" spans="1:7" x14ac:dyDescent="0.25">
      <c r="A32" s="2" t="s">
        <v>15</v>
      </c>
      <c r="B32" s="2">
        <v>16000</v>
      </c>
      <c r="C32" s="2">
        <v>22000</v>
      </c>
      <c r="D32" s="2" t="s">
        <v>61</v>
      </c>
      <c r="F32" s="56">
        <f>88000/((18000+19000)/2)</f>
        <v>4.756756756756757</v>
      </c>
      <c r="G32" s="2" t="s">
        <v>62</v>
      </c>
    </row>
    <row r="33" spans="1:10" x14ac:dyDescent="0.25">
      <c r="A33" s="2" t="s">
        <v>16</v>
      </c>
      <c r="B33" s="2">
        <v>1000</v>
      </c>
      <c r="C33" s="2">
        <v>1000</v>
      </c>
    </row>
    <row r="34" spans="1:10" ht="31.5" x14ac:dyDescent="0.25">
      <c r="A34" s="2" t="s">
        <v>17</v>
      </c>
      <c r="B34" s="2">
        <v>2000</v>
      </c>
      <c r="C34" s="2">
        <v>10000</v>
      </c>
      <c r="D34" s="6" t="s">
        <v>63</v>
      </c>
      <c r="F34" s="54">
        <f>365/F32</f>
        <v>76.732954545454547</v>
      </c>
      <c r="G34" s="2" t="s">
        <v>50</v>
      </c>
    </row>
    <row r="35" spans="1:10" x14ac:dyDescent="0.25">
      <c r="A35" s="1" t="s">
        <v>6</v>
      </c>
      <c r="B35" s="1">
        <f>SUM(B32:B34)</f>
        <v>19000</v>
      </c>
      <c r="C35" s="1">
        <f>SUM(C32:C34)</f>
        <v>33000</v>
      </c>
    </row>
    <row r="36" spans="1:10" ht="31.5" x14ac:dyDescent="0.25">
      <c r="A36" s="2" t="s">
        <v>18</v>
      </c>
      <c r="B36" s="2">
        <f>B30+B35</f>
        <v>33000</v>
      </c>
      <c r="C36" s="2">
        <f>C30+C35</f>
        <v>50000</v>
      </c>
      <c r="D36" s="6" t="s">
        <v>64</v>
      </c>
      <c r="F36" s="2" t="s">
        <v>65</v>
      </c>
      <c r="H36" s="55">
        <v>114</v>
      </c>
    </row>
    <row r="37" spans="1:10" x14ac:dyDescent="0.25">
      <c r="A37" s="1" t="s">
        <v>19</v>
      </c>
      <c r="B37" s="1">
        <f>B25+B36</f>
        <v>78000</v>
      </c>
      <c r="C37" s="1">
        <f>C25+C36</f>
        <v>95000</v>
      </c>
    </row>
    <row r="38" spans="1:10" ht="31.5" x14ac:dyDescent="0.25">
      <c r="D38" s="6" t="s">
        <v>66</v>
      </c>
      <c r="F38" s="2" t="s">
        <v>67</v>
      </c>
      <c r="H38" s="55">
        <v>37</v>
      </c>
      <c r="I38" s="2" t="s">
        <v>50</v>
      </c>
    </row>
    <row r="39" spans="1:10" x14ac:dyDescent="0.25">
      <c r="A39" s="1" t="s">
        <v>20</v>
      </c>
    </row>
    <row r="40" spans="1:10" x14ac:dyDescent="0.25">
      <c r="A40" s="2" t="s">
        <v>21</v>
      </c>
    </row>
    <row r="41" spans="1:10" x14ac:dyDescent="0.25">
      <c r="A41" s="2" t="s">
        <v>22</v>
      </c>
      <c r="B41" s="2">
        <v>20000</v>
      </c>
      <c r="C41" s="2">
        <v>20000</v>
      </c>
      <c r="D41" s="5" t="s">
        <v>69</v>
      </c>
    </row>
    <row r="42" spans="1:10" ht="31.5" x14ac:dyDescent="0.25">
      <c r="A42" s="6" t="s">
        <v>23</v>
      </c>
      <c r="B42" s="2">
        <v>5000</v>
      </c>
      <c r="C42" s="2">
        <v>10000</v>
      </c>
      <c r="D42" s="6" t="s">
        <v>68</v>
      </c>
      <c r="G42" s="55">
        <f>C36-C51</f>
        <v>15000</v>
      </c>
    </row>
    <row r="43" spans="1:10" x14ac:dyDescent="0.25">
      <c r="A43" s="1" t="s">
        <v>24</v>
      </c>
      <c r="B43" s="1">
        <f>SUM(B41:B42)</f>
        <v>25000</v>
      </c>
      <c r="C43" s="1">
        <f>SUM(C41:C42)</f>
        <v>30000</v>
      </c>
    </row>
    <row r="44" spans="1:10" x14ac:dyDescent="0.25">
      <c r="A44" s="2" t="s">
        <v>25</v>
      </c>
      <c r="D44" s="2" t="s">
        <v>70</v>
      </c>
      <c r="G44" s="56">
        <f>C36/C51</f>
        <v>1.4285714285714286</v>
      </c>
    </row>
    <row r="45" spans="1:10" x14ac:dyDescent="0.25">
      <c r="A45" s="2" t="s">
        <v>26</v>
      </c>
      <c r="B45" s="2">
        <v>20000</v>
      </c>
      <c r="C45" s="2">
        <v>30000</v>
      </c>
    </row>
    <row r="46" spans="1:10" ht="31.5" x14ac:dyDescent="0.25">
      <c r="A46" s="1" t="s">
        <v>6</v>
      </c>
      <c r="B46" s="1">
        <f>SUM(B45)</f>
        <v>20000</v>
      </c>
      <c r="C46" s="1">
        <f>SUM(C45)</f>
        <v>30000</v>
      </c>
      <c r="D46" s="6" t="s">
        <v>73</v>
      </c>
      <c r="G46" s="56">
        <f>(C36-C28)/(C51-7000)</f>
        <v>1.2857142857142858</v>
      </c>
      <c r="I46" s="2">
        <f>C36-C29</f>
        <v>47000</v>
      </c>
      <c r="J46" s="2">
        <f>C32+C33+C34+C29</f>
        <v>36000</v>
      </c>
    </row>
    <row r="47" spans="1:10" x14ac:dyDescent="0.25">
      <c r="A47" s="2" t="s">
        <v>27</v>
      </c>
    </row>
    <row r="48" spans="1:10" ht="47.25" x14ac:dyDescent="0.25">
      <c r="A48" s="2" t="s">
        <v>28</v>
      </c>
      <c r="B48" s="2">
        <v>18000</v>
      </c>
      <c r="C48" s="2">
        <v>19000</v>
      </c>
      <c r="D48" s="6" t="s">
        <v>71</v>
      </c>
      <c r="G48" s="56">
        <f>(C34)/(C51-7000)</f>
        <v>0.35714285714285715</v>
      </c>
      <c r="H48" s="2" t="s">
        <v>72</v>
      </c>
    </row>
    <row r="49" spans="1:3" x14ac:dyDescent="0.25">
      <c r="A49" s="2" t="s">
        <v>29</v>
      </c>
      <c r="B49" s="2">
        <v>6000</v>
      </c>
      <c r="C49" s="2">
        <v>12000</v>
      </c>
    </row>
    <row r="50" spans="1:3" x14ac:dyDescent="0.25">
      <c r="A50" s="2" t="s">
        <v>30</v>
      </c>
      <c r="B50" s="2">
        <v>9000</v>
      </c>
      <c r="C50" s="2">
        <v>4000</v>
      </c>
    </row>
    <row r="51" spans="1:3" x14ac:dyDescent="0.25">
      <c r="A51" s="1" t="s">
        <v>6</v>
      </c>
      <c r="B51" s="1">
        <f>SUM(B48:B50)</f>
        <v>33000</v>
      </c>
      <c r="C51" s="1">
        <f>SUM(C48:C50)</f>
        <v>35000</v>
      </c>
    </row>
    <row r="52" spans="1:3" x14ac:dyDescent="0.25">
      <c r="A52" s="1" t="s">
        <v>31</v>
      </c>
      <c r="B52" s="1">
        <f>B46+B51</f>
        <v>53000</v>
      </c>
      <c r="C52" s="1">
        <f>C46+C51</f>
        <v>65000</v>
      </c>
    </row>
    <row r="53" spans="1:3" x14ac:dyDescent="0.25">
      <c r="A53" s="1" t="s">
        <v>32</v>
      </c>
      <c r="B53" s="1">
        <f>B43+B52</f>
        <v>78000</v>
      </c>
      <c r="C53" s="1">
        <f>C43+C52</f>
        <v>95000</v>
      </c>
    </row>
    <row r="56" spans="1:3" ht="63" x14ac:dyDescent="0.25">
      <c r="A56" s="6" t="s">
        <v>74</v>
      </c>
    </row>
    <row r="59" spans="1:3" ht="31.5" x14ac:dyDescent="0.25">
      <c r="A59" s="7" t="s">
        <v>34</v>
      </c>
      <c r="C59" s="1">
        <v>2019</v>
      </c>
    </row>
    <row r="61" spans="1:3" x14ac:dyDescent="0.25">
      <c r="A61" s="2" t="s">
        <v>35</v>
      </c>
      <c r="C61" s="2">
        <v>110000</v>
      </c>
    </row>
    <row r="62" spans="1:3" x14ac:dyDescent="0.25">
      <c r="A62" s="2" t="s">
        <v>36</v>
      </c>
      <c r="C62" s="2">
        <v>-83000</v>
      </c>
    </row>
    <row r="63" spans="1:3" x14ac:dyDescent="0.25">
      <c r="A63" s="1" t="s">
        <v>37</v>
      </c>
      <c r="C63" s="1">
        <f>SUM(C61:C62)</f>
        <v>27000</v>
      </c>
    </row>
    <row r="64" spans="1:3" x14ac:dyDescent="0.25">
      <c r="A64" s="2" t="s">
        <v>38</v>
      </c>
      <c r="C64" s="2">
        <v>-5600</v>
      </c>
    </row>
    <row r="65" spans="1:3" x14ac:dyDescent="0.25">
      <c r="A65" s="2" t="s">
        <v>39</v>
      </c>
      <c r="C65" s="2">
        <v>-8000</v>
      </c>
    </row>
    <row r="66" spans="1:3" x14ac:dyDescent="0.25">
      <c r="A66" s="2" t="s">
        <v>40</v>
      </c>
      <c r="C66" s="2">
        <v>3000</v>
      </c>
    </row>
    <row r="67" spans="1:3" ht="31.5" x14ac:dyDescent="0.25">
      <c r="A67" s="7" t="s">
        <v>41</v>
      </c>
      <c r="C67" s="1">
        <f>SUM(C63:C66)</f>
        <v>16400</v>
      </c>
    </row>
    <row r="68" spans="1:3" x14ac:dyDescent="0.25">
      <c r="A68" s="2" t="s">
        <v>42</v>
      </c>
      <c r="C68" s="2">
        <v>-2400</v>
      </c>
    </row>
    <row r="69" spans="1:3" x14ac:dyDescent="0.25">
      <c r="A69" s="2" t="s">
        <v>43</v>
      </c>
      <c r="C69" s="1">
        <f>SUM(C67:C68)</f>
        <v>14000</v>
      </c>
    </row>
    <row r="70" spans="1:3" x14ac:dyDescent="0.25">
      <c r="A70" s="2" t="s">
        <v>44</v>
      </c>
      <c r="C70" s="2">
        <v>-4000</v>
      </c>
    </row>
    <row r="71" spans="1:3" x14ac:dyDescent="0.25">
      <c r="A71" s="1" t="s">
        <v>45</v>
      </c>
      <c r="C71" s="1">
        <f>SUM(C69:C70)</f>
        <v>10000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B1" zoomScale="120" zoomScaleNormal="120" workbookViewId="0">
      <selection activeCell="B5" sqref="B5"/>
    </sheetView>
  </sheetViews>
  <sheetFormatPr defaultRowHeight="15" x14ac:dyDescent="0.25"/>
  <cols>
    <col min="2" max="2" width="42.140625" customWidth="1"/>
    <col min="3" max="3" width="10" customWidth="1"/>
    <col min="4" max="4" width="5.85546875" customWidth="1"/>
    <col min="5" max="5" width="32.5703125" bestFit="1" customWidth="1"/>
    <col min="8" max="8" width="29" customWidth="1"/>
    <col min="10" max="10" width="10.5703125" bestFit="1" customWidth="1"/>
  </cols>
  <sheetData>
    <row r="1" spans="1:10" x14ac:dyDescent="0.25">
      <c r="A1" t="s">
        <v>75</v>
      </c>
      <c r="B1" s="11" t="s">
        <v>120</v>
      </c>
    </row>
    <row r="9" spans="1:10" ht="21" x14ac:dyDescent="0.35">
      <c r="B9" s="10" t="s">
        <v>0</v>
      </c>
      <c r="C9" s="10"/>
      <c r="D9" s="15"/>
      <c r="E9" s="10" t="s">
        <v>20</v>
      </c>
      <c r="H9" t="s">
        <v>100</v>
      </c>
      <c r="I9" t="s">
        <v>101</v>
      </c>
      <c r="J9">
        <f>C20-F20</f>
        <v>15000</v>
      </c>
    </row>
    <row r="10" spans="1:10" ht="21" x14ac:dyDescent="0.35">
      <c r="B10" s="12" t="s">
        <v>89</v>
      </c>
      <c r="C10" s="9"/>
      <c r="D10" s="8"/>
      <c r="E10" t="s">
        <v>77</v>
      </c>
      <c r="F10">
        <v>20000</v>
      </c>
      <c r="H10" t="s">
        <v>102</v>
      </c>
      <c r="J10" s="16">
        <f>C20/F20</f>
        <v>1.4285714285714286</v>
      </c>
    </row>
    <row r="11" spans="1:10" ht="46.5" x14ac:dyDescent="0.35">
      <c r="B11" s="12" t="s">
        <v>99</v>
      </c>
      <c r="C11">
        <v>24000</v>
      </c>
      <c r="D11" s="8"/>
      <c r="E11" t="s">
        <v>78</v>
      </c>
      <c r="F11">
        <v>10000</v>
      </c>
      <c r="H11" s="13" t="s">
        <v>103</v>
      </c>
      <c r="J11" s="16">
        <f>(C20-C15-C16)/(F20-F17)</f>
        <v>1.1785714285714286</v>
      </c>
    </row>
    <row r="12" spans="1:10" ht="21" x14ac:dyDescent="0.35">
      <c r="B12" s="12" t="s">
        <v>90</v>
      </c>
      <c r="C12">
        <v>11000</v>
      </c>
      <c r="D12" s="8"/>
      <c r="E12" s="10" t="s">
        <v>79</v>
      </c>
      <c r="F12" s="10">
        <f>SUM(F10:F11)</f>
        <v>30000</v>
      </c>
      <c r="J12" s="14"/>
    </row>
    <row r="13" spans="1:10" ht="38.25" customHeight="1" x14ac:dyDescent="0.35">
      <c r="B13" s="12" t="s">
        <v>91</v>
      </c>
      <c r="C13">
        <v>10000</v>
      </c>
      <c r="D13" s="8"/>
      <c r="E13" t="s">
        <v>80</v>
      </c>
      <c r="F13">
        <v>30000</v>
      </c>
      <c r="H13" s="13" t="s">
        <v>104</v>
      </c>
      <c r="J13" s="16">
        <f>(C19)/(F20-F17)</f>
        <v>0.35714285714285715</v>
      </c>
    </row>
    <row r="14" spans="1:10" ht="21" x14ac:dyDescent="0.35">
      <c r="B14" s="10" t="s">
        <v>92</v>
      </c>
      <c r="C14" s="10">
        <f>SUM(C10:C13)</f>
        <v>45000</v>
      </c>
      <c r="D14" s="8"/>
      <c r="E14" s="10" t="s">
        <v>81</v>
      </c>
      <c r="F14" s="10">
        <f>F13</f>
        <v>30000</v>
      </c>
      <c r="J14" s="14"/>
    </row>
    <row r="15" spans="1:10" ht="47.25" customHeight="1" x14ac:dyDescent="0.35">
      <c r="B15" s="12" t="s">
        <v>93</v>
      </c>
      <c r="C15">
        <v>14000</v>
      </c>
      <c r="D15" s="8"/>
      <c r="E15" t="s">
        <v>82</v>
      </c>
      <c r="F15">
        <v>16000</v>
      </c>
      <c r="H15" s="13" t="s">
        <v>105</v>
      </c>
      <c r="J15" s="17">
        <f>(C17+C18+C19)/J17</f>
        <v>129.51612903225805</v>
      </c>
    </row>
    <row r="16" spans="1:10" ht="21" x14ac:dyDescent="0.35">
      <c r="B16" s="12" t="s">
        <v>94</v>
      </c>
      <c r="C16">
        <v>3000</v>
      </c>
      <c r="D16" s="8"/>
      <c r="E16" t="s">
        <v>83</v>
      </c>
      <c r="F16">
        <v>3000</v>
      </c>
    </row>
    <row r="17" spans="2:14" ht="21" x14ac:dyDescent="0.35">
      <c r="B17" s="12" t="s">
        <v>95</v>
      </c>
      <c r="C17">
        <v>22000</v>
      </c>
      <c r="D17" s="8"/>
      <c r="E17" t="s">
        <v>84</v>
      </c>
      <c r="F17">
        <v>7000</v>
      </c>
      <c r="H17" t="s">
        <v>106</v>
      </c>
      <c r="J17">
        <f>F25/365</f>
        <v>254.79452054794521</v>
      </c>
    </row>
    <row r="18" spans="2:14" ht="21" x14ac:dyDescent="0.35">
      <c r="B18" s="12" t="s">
        <v>96</v>
      </c>
      <c r="C18">
        <v>1000</v>
      </c>
      <c r="D18" s="8"/>
      <c r="E18" t="s">
        <v>85</v>
      </c>
      <c r="F18">
        <v>4000</v>
      </c>
    </row>
    <row r="19" spans="2:14" ht="21" x14ac:dyDescent="0.35">
      <c r="B19" s="12" t="s">
        <v>97</v>
      </c>
      <c r="C19">
        <v>10000</v>
      </c>
      <c r="D19" s="8"/>
      <c r="E19" t="s">
        <v>86</v>
      </c>
      <c r="F19">
        <v>5000</v>
      </c>
    </row>
    <row r="20" spans="2:14" ht="21" x14ac:dyDescent="0.35">
      <c r="B20" s="10" t="s">
        <v>98</v>
      </c>
      <c r="C20" s="10">
        <f>SUM(C15:C19)</f>
        <v>50000</v>
      </c>
      <c r="D20" s="8"/>
      <c r="E20" s="10" t="s">
        <v>87</v>
      </c>
      <c r="F20" s="10">
        <f>SUM(F15:F19)</f>
        <v>35000</v>
      </c>
    </row>
    <row r="21" spans="2:14" ht="21" x14ac:dyDescent="0.35">
      <c r="B21" s="11" t="s">
        <v>76</v>
      </c>
      <c r="C21" s="11">
        <f>C14+C20</f>
        <v>95000</v>
      </c>
      <c r="D21" s="8"/>
      <c r="E21" s="11" t="s">
        <v>88</v>
      </c>
      <c r="F21" s="11">
        <f>F12+F14+F20</f>
        <v>95000</v>
      </c>
    </row>
    <row r="22" spans="2:14" ht="21" x14ac:dyDescent="0.35">
      <c r="B22" s="8"/>
      <c r="C22" s="8"/>
      <c r="D22" s="8"/>
    </row>
    <row r="25" spans="2:14" x14ac:dyDescent="0.25">
      <c r="B25" t="s">
        <v>107</v>
      </c>
      <c r="C25">
        <v>110000</v>
      </c>
      <c r="E25" t="s">
        <v>119</v>
      </c>
      <c r="F25">
        <f>-(C26+C28+C29+C32+C37)</f>
        <v>93000</v>
      </c>
    </row>
    <row r="26" spans="2:14" x14ac:dyDescent="0.25">
      <c r="B26" t="s">
        <v>108</v>
      </c>
      <c r="C26">
        <v>-83000</v>
      </c>
    </row>
    <row r="27" spans="2:14" x14ac:dyDescent="0.25">
      <c r="B27" t="s">
        <v>109</v>
      </c>
      <c r="C27">
        <f>SUM(C25:C26)</f>
        <v>27000</v>
      </c>
    </row>
    <row r="28" spans="2:14" x14ac:dyDescent="0.25">
      <c r="B28" t="s">
        <v>110</v>
      </c>
      <c r="C28">
        <v>-5600</v>
      </c>
    </row>
    <row r="29" spans="2:14" x14ac:dyDescent="0.25">
      <c r="B29" t="s">
        <v>111</v>
      </c>
      <c r="C29">
        <v>-8000</v>
      </c>
    </row>
    <row r="30" spans="2:14" x14ac:dyDescent="0.25">
      <c r="B30" t="s">
        <v>112</v>
      </c>
      <c r="C30">
        <f>SUM(C27:C29)</f>
        <v>13400</v>
      </c>
      <c r="N30">
        <v>27000</v>
      </c>
    </row>
    <row r="31" spans="2:14" x14ac:dyDescent="0.25">
      <c r="B31" t="s">
        <v>113</v>
      </c>
      <c r="C31">
        <v>3000</v>
      </c>
      <c r="N31">
        <v>-5600</v>
      </c>
    </row>
    <row r="32" spans="2:14" x14ac:dyDescent="0.25">
      <c r="B32" t="s">
        <v>114</v>
      </c>
      <c r="C32">
        <v>-2400</v>
      </c>
      <c r="N32">
        <v>-8000</v>
      </c>
    </row>
    <row r="33" spans="2:14" x14ac:dyDescent="0.25">
      <c r="B33" t="s">
        <v>115</v>
      </c>
      <c r="C33">
        <f>SUM(C30:C32)</f>
        <v>14000</v>
      </c>
      <c r="N33">
        <v>3000</v>
      </c>
    </row>
    <row r="34" spans="2:14" x14ac:dyDescent="0.25">
      <c r="B34" t="s">
        <v>116</v>
      </c>
      <c r="C34">
        <v>-4000</v>
      </c>
      <c r="N34">
        <f>SUM(N30:N33)</f>
        <v>16400</v>
      </c>
    </row>
    <row r="35" spans="2:14" x14ac:dyDescent="0.25">
      <c r="B35" t="s">
        <v>117</v>
      </c>
      <c r="C35">
        <f>SUM(C33:C34)</f>
        <v>10000</v>
      </c>
      <c r="N35">
        <v>-2400</v>
      </c>
    </row>
    <row r="36" spans="2:14" x14ac:dyDescent="0.25">
      <c r="N36">
        <f>SUM(N34:N35)</f>
        <v>14000</v>
      </c>
    </row>
    <row r="37" spans="2:14" x14ac:dyDescent="0.25">
      <c r="B37" t="s">
        <v>118</v>
      </c>
      <c r="C37">
        <v>6000</v>
      </c>
      <c r="N37">
        <v>-4000</v>
      </c>
    </row>
    <row r="38" spans="2:14" x14ac:dyDescent="0.25">
      <c r="N38">
        <f>SUM(N36:N37)</f>
        <v>10000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topLeftCell="C1" workbookViewId="0">
      <selection activeCell="C1" sqref="C1"/>
    </sheetView>
  </sheetViews>
  <sheetFormatPr defaultRowHeight="15" x14ac:dyDescent="0.25"/>
  <cols>
    <col min="3" max="3" width="25.7109375" customWidth="1"/>
    <col min="4" max="5" width="13.140625" bestFit="1" customWidth="1"/>
    <col min="6" max="6" width="11.42578125" customWidth="1"/>
    <col min="8" max="8" width="9.42578125" bestFit="1" customWidth="1"/>
    <col min="9" max="9" width="13.140625" customWidth="1"/>
    <col min="10" max="10" width="10.42578125" bestFit="1" customWidth="1"/>
    <col min="12" max="12" width="9.42578125" bestFit="1" customWidth="1"/>
  </cols>
  <sheetData>
    <row r="1" spans="2:16" x14ac:dyDescent="0.25">
      <c r="B1" s="10" t="s">
        <v>122</v>
      </c>
      <c r="C1" s="57" t="s">
        <v>238</v>
      </c>
    </row>
    <row r="2" spans="2:16" x14ac:dyDescent="0.25">
      <c r="B2" s="10"/>
    </row>
    <row r="3" spans="2:16" x14ac:dyDescent="0.25">
      <c r="B3" s="10"/>
    </row>
    <row r="4" spans="2:16" x14ac:dyDescent="0.25">
      <c r="B4" s="10"/>
    </row>
    <row r="5" spans="2:16" x14ac:dyDescent="0.25">
      <c r="B5" s="10"/>
    </row>
    <row r="6" spans="2:16" x14ac:dyDescent="0.25">
      <c r="B6" s="10"/>
    </row>
    <row r="7" spans="2:16" x14ac:dyDescent="0.25">
      <c r="D7" s="18">
        <v>2014</v>
      </c>
      <c r="E7" s="18">
        <v>2013</v>
      </c>
    </row>
    <row r="8" spans="2:16" x14ac:dyDescent="0.25">
      <c r="C8" s="10" t="s">
        <v>0</v>
      </c>
    </row>
    <row r="9" spans="2:16" x14ac:dyDescent="0.25">
      <c r="C9" t="s">
        <v>123</v>
      </c>
      <c r="D9" s="19">
        <v>11647</v>
      </c>
      <c r="E9" s="19">
        <v>16284</v>
      </c>
    </row>
    <row r="10" spans="2:16" x14ac:dyDescent="0.25">
      <c r="C10" t="s">
        <v>124</v>
      </c>
      <c r="D10" s="19">
        <v>121886</v>
      </c>
      <c r="E10" s="19">
        <v>139882</v>
      </c>
      <c r="H10" s="20" t="s">
        <v>125</v>
      </c>
      <c r="I10" s="20"/>
      <c r="J10" s="20"/>
      <c r="K10" s="20"/>
      <c r="L10" s="20"/>
      <c r="M10" s="20"/>
      <c r="N10" s="20"/>
      <c r="O10" s="20"/>
      <c r="P10" s="21">
        <f>83457/J12</f>
        <v>1.7228765186156212</v>
      </c>
    </row>
    <row r="11" spans="2:16" x14ac:dyDescent="0.25">
      <c r="C11" s="10" t="s">
        <v>126</v>
      </c>
      <c r="D11" s="19">
        <f>SUM(D9:D10)</f>
        <v>133533</v>
      </c>
      <c r="E11" s="19">
        <f>SUM(E9:E10)</f>
        <v>156166</v>
      </c>
      <c r="H11" s="20"/>
      <c r="I11" s="20"/>
      <c r="J11" s="20"/>
      <c r="K11" s="20"/>
      <c r="L11" s="20"/>
      <c r="M11" s="20"/>
      <c r="N11" s="20"/>
      <c r="O11" s="20"/>
      <c r="P11" s="20"/>
    </row>
    <row r="12" spans="2:16" x14ac:dyDescent="0.25">
      <c r="C12" s="22" t="s">
        <v>11</v>
      </c>
      <c r="D12" s="23">
        <v>344</v>
      </c>
      <c r="E12" s="23">
        <v>343</v>
      </c>
      <c r="H12" s="20" t="s">
        <v>127</v>
      </c>
      <c r="I12" s="20"/>
      <c r="J12" s="24">
        <f>(D13+E13)/2</f>
        <v>48440.5</v>
      </c>
      <c r="K12" s="20"/>
      <c r="L12" s="20"/>
      <c r="M12" s="20"/>
      <c r="N12" s="20"/>
      <c r="O12" s="20"/>
      <c r="P12" s="20"/>
    </row>
    <row r="13" spans="2:16" x14ac:dyDescent="0.25">
      <c r="C13" t="s">
        <v>128</v>
      </c>
      <c r="D13" s="19">
        <v>47581</v>
      </c>
      <c r="E13" s="19">
        <v>49300</v>
      </c>
      <c r="H13" s="20"/>
      <c r="I13" s="20"/>
      <c r="J13" s="20"/>
      <c r="K13" s="20"/>
      <c r="L13" s="20"/>
      <c r="M13" s="20"/>
      <c r="N13" s="20"/>
      <c r="O13" s="20"/>
      <c r="P13" s="20"/>
    </row>
    <row r="14" spans="2:16" x14ac:dyDescent="0.25">
      <c r="C14" t="s">
        <v>129</v>
      </c>
      <c r="D14" s="19">
        <v>42000</v>
      </c>
      <c r="E14" s="19">
        <v>40000</v>
      </c>
      <c r="H14" s="25" t="s">
        <v>130</v>
      </c>
      <c r="I14" s="26"/>
      <c r="J14" s="27">
        <f>365/P10</f>
        <v>211.85499718417867</v>
      </c>
      <c r="K14" s="20"/>
      <c r="L14" s="20"/>
      <c r="M14" s="20"/>
      <c r="N14" s="20"/>
      <c r="O14" s="20"/>
      <c r="P14" s="20"/>
    </row>
    <row r="15" spans="2:16" x14ac:dyDescent="0.25">
      <c r="C15" t="s">
        <v>131</v>
      </c>
      <c r="D15" s="19">
        <v>6810</v>
      </c>
      <c r="E15" s="19">
        <v>12869</v>
      </c>
    </row>
    <row r="16" spans="2:16" x14ac:dyDescent="0.25">
      <c r="C16" s="10" t="s">
        <v>132</v>
      </c>
      <c r="D16" s="19">
        <f>SUM(D12:D15)</f>
        <v>96735</v>
      </c>
      <c r="E16" s="19">
        <f>SUM(E12:E15)</f>
        <v>102512</v>
      </c>
    </row>
    <row r="17" spans="3:16" x14ac:dyDescent="0.25">
      <c r="C17" s="10" t="s">
        <v>76</v>
      </c>
      <c r="D17" s="28">
        <f>D11+D16</f>
        <v>230268</v>
      </c>
      <c r="E17" s="28">
        <f>E11+E16</f>
        <v>258678</v>
      </c>
      <c r="H17" s="29" t="s">
        <v>133</v>
      </c>
      <c r="I17" s="29"/>
      <c r="J17" s="29"/>
      <c r="K17" s="30"/>
      <c r="L17" s="30"/>
      <c r="M17" s="30"/>
      <c r="N17" s="30"/>
      <c r="O17" s="30"/>
      <c r="P17" s="30"/>
    </row>
    <row r="18" spans="3:16" x14ac:dyDescent="0.25">
      <c r="D18" s="19"/>
      <c r="E18" s="19"/>
      <c r="H18" s="30"/>
      <c r="I18" s="30"/>
      <c r="J18" s="30"/>
      <c r="K18" s="30"/>
      <c r="L18" s="30"/>
      <c r="M18" s="30"/>
      <c r="N18" s="30"/>
      <c r="O18" s="30"/>
      <c r="P18" s="30"/>
    </row>
    <row r="19" spans="3:16" x14ac:dyDescent="0.25">
      <c r="C19" s="10" t="s">
        <v>20</v>
      </c>
      <c r="D19" s="19"/>
      <c r="E19" s="19"/>
      <c r="H19" s="30" t="s">
        <v>134</v>
      </c>
      <c r="I19" s="30"/>
      <c r="J19" s="30"/>
      <c r="K19" s="30"/>
      <c r="L19" s="30"/>
      <c r="M19" s="30"/>
      <c r="N19" s="30"/>
      <c r="O19" s="30"/>
      <c r="P19" s="31">
        <f>84510/M21</f>
        <v>1.3089540448863901</v>
      </c>
    </row>
    <row r="20" spans="3:16" x14ac:dyDescent="0.25">
      <c r="C20" t="s">
        <v>135</v>
      </c>
      <c r="D20" s="19">
        <v>40000</v>
      </c>
      <c r="E20" s="19">
        <v>40000</v>
      </c>
      <c r="H20" s="30"/>
      <c r="I20" s="30"/>
      <c r="J20" s="30"/>
      <c r="K20" s="30"/>
      <c r="L20" s="30"/>
      <c r="M20" s="30"/>
      <c r="N20" s="30"/>
      <c r="O20" s="30"/>
      <c r="P20" s="30"/>
    </row>
    <row r="21" spans="3:16" x14ac:dyDescent="0.25">
      <c r="C21" t="s">
        <v>136</v>
      </c>
      <c r="D21" s="19">
        <v>1043</v>
      </c>
      <c r="E21" s="19">
        <v>13283</v>
      </c>
      <c r="H21" s="30" t="s">
        <v>137</v>
      </c>
      <c r="I21" s="30"/>
      <c r="J21" s="30"/>
      <c r="K21" s="30"/>
      <c r="L21" s="30"/>
      <c r="M21" s="30">
        <f>(E25+D25)/2</f>
        <v>64563</v>
      </c>
      <c r="N21" s="30"/>
      <c r="O21" s="30"/>
      <c r="P21" s="30"/>
    </row>
    <row r="22" spans="3:16" x14ac:dyDescent="0.25">
      <c r="C22" s="10" t="s">
        <v>138</v>
      </c>
      <c r="D22" s="19">
        <f>SUM(D20:D21)</f>
        <v>41043</v>
      </c>
      <c r="E22" s="19">
        <f>SUM(E20:E21)</f>
        <v>53283</v>
      </c>
      <c r="H22" s="30"/>
      <c r="I22" s="30"/>
      <c r="J22" s="30"/>
      <c r="K22" s="30"/>
      <c r="L22" s="30"/>
      <c r="M22" s="30"/>
      <c r="N22" s="30"/>
      <c r="O22" s="30"/>
      <c r="P22" s="30"/>
    </row>
    <row r="23" spans="3:16" x14ac:dyDescent="0.25">
      <c r="C23" t="s">
        <v>139</v>
      </c>
      <c r="D23" s="19">
        <v>100000</v>
      </c>
      <c r="E23" s="19">
        <v>45000</v>
      </c>
      <c r="H23" s="32" t="s">
        <v>140</v>
      </c>
      <c r="I23" s="33"/>
      <c r="J23" s="34">
        <f>365/P19</f>
        <v>278.84859779907703</v>
      </c>
      <c r="K23" s="30"/>
      <c r="L23" s="30"/>
      <c r="M23" s="30"/>
      <c r="N23" s="30"/>
      <c r="O23" s="30"/>
      <c r="P23" s="30"/>
    </row>
    <row r="24" spans="3:16" x14ac:dyDescent="0.25">
      <c r="C24" t="s">
        <v>141</v>
      </c>
      <c r="D24" s="19">
        <v>33470</v>
      </c>
      <c r="E24" s="19">
        <v>87024</v>
      </c>
    </row>
    <row r="25" spans="3:16" x14ac:dyDescent="0.25">
      <c r="C25" t="s">
        <v>142</v>
      </c>
      <c r="D25" s="19">
        <v>55755</v>
      </c>
      <c r="E25" s="19">
        <v>73371</v>
      </c>
      <c r="H25" t="s">
        <v>149</v>
      </c>
    </row>
    <row r="26" spans="3:16" x14ac:dyDescent="0.25">
      <c r="C26" s="10" t="s">
        <v>144</v>
      </c>
      <c r="D26" s="28">
        <f>SUM(D24:D25)</f>
        <v>89225</v>
      </c>
      <c r="E26" s="28">
        <f>SUM(E24:E25)</f>
        <v>160395</v>
      </c>
    </row>
    <row r="27" spans="3:16" x14ac:dyDescent="0.25">
      <c r="C27" s="10" t="s">
        <v>146</v>
      </c>
      <c r="D27" s="19">
        <f>D23+D26</f>
        <v>189225</v>
      </c>
      <c r="E27" s="36">
        <f>E23+E26</f>
        <v>205395</v>
      </c>
      <c r="F27" s="19"/>
      <c r="H27" t="s">
        <v>143</v>
      </c>
    </row>
    <row r="28" spans="3:16" x14ac:dyDescent="0.25">
      <c r="C28" s="10" t="s">
        <v>88</v>
      </c>
      <c r="D28" s="36">
        <f>D22+D27</f>
        <v>230268</v>
      </c>
      <c r="E28" s="36">
        <f>E22+E27</f>
        <v>258678</v>
      </c>
      <c r="H28" s="35" t="s">
        <v>145</v>
      </c>
    </row>
    <row r="29" spans="3:16" x14ac:dyDescent="0.25">
      <c r="D29" s="28"/>
      <c r="E29" s="28"/>
    </row>
    <row r="30" spans="3:16" x14ac:dyDescent="0.25">
      <c r="H30" t="s">
        <v>147</v>
      </c>
    </row>
    <row r="33" spans="8:12" x14ac:dyDescent="0.25">
      <c r="L33" s="36"/>
    </row>
    <row r="34" spans="8:12" x14ac:dyDescent="0.25">
      <c r="L34" s="36"/>
    </row>
    <row r="38" spans="8:12" x14ac:dyDescent="0.25">
      <c r="H38">
        <v>2013</v>
      </c>
      <c r="J38" t="s">
        <v>148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1"/>
  <sheetViews>
    <sheetView workbookViewId="0">
      <selection activeCell="B1" sqref="B1"/>
    </sheetView>
  </sheetViews>
  <sheetFormatPr defaultRowHeight="15" x14ac:dyDescent="0.25"/>
  <cols>
    <col min="3" max="3" width="26.140625" bestFit="1" customWidth="1"/>
    <col min="8" max="8" width="23.85546875" customWidth="1"/>
    <col min="13" max="13" width="15.85546875" customWidth="1"/>
  </cols>
  <sheetData>
    <row r="1" spans="2:15" x14ac:dyDescent="0.25">
      <c r="B1" s="11" t="s">
        <v>239</v>
      </c>
      <c r="C1" s="11"/>
    </row>
    <row r="10" spans="2:15" x14ac:dyDescent="0.25">
      <c r="H10" t="s">
        <v>153</v>
      </c>
      <c r="K10" s="39">
        <f>D31/((190000+160000)/2)</f>
        <v>0.14285714285714285</v>
      </c>
      <c r="M10" t="s">
        <v>154</v>
      </c>
    </row>
    <row r="12" spans="2:15" x14ac:dyDescent="0.25">
      <c r="H12" t="s">
        <v>171</v>
      </c>
      <c r="K12" s="39">
        <f>D31/(D23+D24)</f>
        <v>0.18518518518518517</v>
      </c>
      <c r="M12" t="s">
        <v>154</v>
      </c>
    </row>
    <row r="13" spans="2:15" x14ac:dyDescent="0.25">
      <c r="D13">
        <v>2017</v>
      </c>
      <c r="E13">
        <v>2016</v>
      </c>
    </row>
    <row r="14" spans="2:15" ht="45" x14ac:dyDescent="0.25">
      <c r="H14" s="40" t="s">
        <v>156</v>
      </c>
      <c r="K14" s="41">
        <f>D31/D30</f>
        <v>0.17857142857142858</v>
      </c>
      <c r="M14" t="s">
        <v>154</v>
      </c>
    </row>
    <row r="15" spans="2:15" x14ac:dyDescent="0.25">
      <c r="C15" s="10" t="s">
        <v>0</v>
      </c>
      <c r="K15" s="42"/>
    </row>
    <row r="16" spans="2:15" ht="30" x14ac:dyDescent="0.25">
      <c r="C16" t="s">
        <v>150</v>
      </c>
      <c r="D16">
        <v>95000</v>
      </c>
      <c r="E16">
        <v>95000</v>
      </c>
      <c r="H16" t="s">
        <v>158</v>
      </c>
      <c r="K16" s="43">
        <f>D30/((D18+E18)/2)</f>
        <v>0.8</v>
      </c>
      <c r="L16" t="s">
        <v>159</v>
      </c>
      <c r="M16" s="13" t="s">
        <v>237</v>
      </c>
      <c r="N16" t="s">
        <v>160</v>
      </c>
      <c r="O16">
        <v>1.35</v>
      </c>
    </row>
    <row r="17" spans="3:13" x14ac:dyDescent="0.25">
      <c r="C17" t="s">
        <v>151</v>
      </c>
      <c r="D17">
        <v>95000</v>
      </c>
      <c r="E17">
        <v>65000</v>
      </c>
    </row>
    <row r="18" spans="3:13" x14ac:dyDescent="0.25">
      <c r="C18" t="s">
        <v>152</v>
      </c>
      <c r="D18" s="38">
        <v>190000</v>
      </c>
      <c r="E18" s="38">
        <v>160000</v>
      </c>
      <c r="H18" t="s">
        <v>162</v>
      </c>
    </row>
    <row r="19" spans="3:13" x14ac:dyDescent="0.25">
      <c r="H19" t="s">
        <v>164</v>
      </c>
      <c r="K19" s="44">
        <f>K14*K16</f>
        <v>0.14285714285714288</v>
      </c>
    </row>
    <row r="20" spans="3:13" x14ac:dyDescent="0.25">
      <c r="C20" s="10" t="s">
        <v>20</v>
      </c>
    </row>
    <row r="21" spans="3:13" x14ac:dyDescent="0.25">
      <c r="C21" t="s">
        <v>135</v>
      </c>
      <c r="D21">
        <v>50000</v>
      </c>
      <c r="E21">
        <v>50000</v>
      </c>
      <c r="H21" t="s">
        <v>165</v>
      </c>
      <c r="K21" s="39">
        <f>D31/D23</f>
        <v>0.27777777777777779</v>
      </c>
      <c r="M21" t="s">
        <v>166</v>
      </c>
    </row>
    <row r="22" spans="3:13" x14ac:dyDescent="0.25">
      <c r="C22" t="s">
        <v>155</v>
      </c>
      <c r="D22">
        <v>40000</v>
      </c>
      <c r="E22">
        <v>30000</v>
      </c>
    </row>
    <row r="23" spans="3:13" x14ac:dyDescent="0.25">
      <c r="C23" t="s">
        <v>24</v>
      </c>
      <c r="D23">
        <v>90000</v>
      </c>
      <c r="E23">
        <v>80000</v>
      </c>
      <c r="H23" t="s">
        <v>168</v>
      </c>
      <c r="K23" s="44">
        <f>K14*K26*K16</f>
        <v>0.30158730158730163</v>
      </c>
    </row>
    <row r="24" spans="3:13" x14ac:dyDescent="0.25">
      <c r="C24" t="s">
        <v>157</v>
      </c>
      <c r="D24">
        <v>45000</v>
      </c>
      <c r="E24">
        <v>45000</v>
      </c>
      <c r="H24" t="s">
        <v>169</v>
      </c>
    </row>
    <row r="25" spans="3:13" x14ac:dyDescent="0.25">
      <c r="C25" s="10" t="s">
        <v>161</v>
      </c>
      <c r="D25" s="10">
        <v>55000</v>
      </c>
      <c r="E25" s="10">
        <v>35000</v>
      </c>
    </row>
    <row r="26" spans="3:13" x14ac:dyDescent="0.25">
      <c r="C26" t="s">
        <v>31</v>
      </c>
      <c r="D26" s="38">
        <v>100000</v>
      </c>
      <c r="E26" s="38">
        <v>80000</v>
      </c>
      <c r="H26" t="s">
        <v>170</v>
      </c>
      <c r="K26" s="45">
        <f>D27/D23</f>
        <v>2.1111111111111112</v>
      </c>
      <c r="L26" t="s">
        <v>159</v>
      </c>
    </row>
    <row r="27" spans="3:13" x14ac:dyDescent="0.25">
      <c r="C27" t="s">
        <v>163</v>
      </c>
      <c r="D27" s="38">
        <v>190000</v>
      </c>
      <c r="E27" s="38">
        <v>160000</v>
      </c>
    </row>
    <row r="30" spans="3:13" x14ac:dyDescent="0.25">
      <c r="C30" t="s">
        <v>35</v>
      </c>
      <c r="D30">
        <v>140000</v>
      </c>
    </row>
    <row r="31" spans="3:13" x14ac:dyDescent="0.25">
      <c r="C31" t="s">
        <v>167</v>
      </c>
      <c r="D31">
        <v>25000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0"/>
  <sheetViews>
    <sheetView zoomScale="120" zoomScaleNormal="120" workbookViewId="0">
      <selection activeCell="M50" sqref="M50"/>
    </sheetView>
  </sheetViews>
  <sheetFormatPr defaultRowHeight="15" x14ac:dyDescent="0.25"/>
  <cols>
    <col min="2" max="2" width="23.42578125" customWidth="1"/>
    <col min="3" max="3" width="11.85546875" customWidth="1"/>
    <col min="4" max="4" width="11.140625" customWidth="1"/>
    <col min="5" max="5" width="12.140625" customWidth="1"/>
    <col min="6" max="6" width="12.5703125" customWidth="1"/>
    <col min="7" max="7" width="24" customWidth="1"/>
    <col min="10" max="10" width="9.5703125" bestFit="1" customWidth="1"/>
    <col min="16" max="16" width="14.85546875" customWidth="1"/>
  </cols>
  <sheetData>
    <row r="1" spans="1:4" x14ac:dyDescent="0.25">
      <c r="A1" s="11" t="s">
        <v>240</v>
      </c>
      <c r="B1" s="17"/>
    </row>
    <row r="15" spans="1:4" x14ac:dyDescent="0.25">
      <c r="C15" s="10">
        <v>2014</v>
      </c>
      <c r="D15" s="10">
        <v>2013</v>
      </c>
    </row>
    <row r="16" spans="1:4" x14ac:dyDescent="0.25">
      <c r="B16" s="10" t="s">
        <v>172</v>
      </c>
    </row>
    <row r="17" spans="2:31" x14ac:dyDescent="0.25">
      <c r="B17" t="s">
        <v>173</v>
      </c>
      <c r="C17">
        <v>24000</v>
      </c>
      <c r="D17">
        <v>28000</v>
      </c>
    </row>
    <row r="18" spans="2:31" x14ac:dyDescent="0.25">
      <c r="B18" t="s">
        <v>4</v>
      </c>
      <c r="C18">
        <v>11000</v>
      </c>
      <c r="D18">
        <v>2000</v>
      </c>
    </row>
    <row r="19" spans="2:31" x14ac:dyDescent="0.25">
      <c r="B19" t="s">
        <v>8</v>
      </c>
      <c r="C19">
        <v>10000</v>
      </c>
      <c r="D19">
        <v>15000</v>
      </c>
    </row>
    <row r="20" spans="2:31" x14ac:dyDescent="0.25">
      <c r="B20" s="10" t="s">
        <v>174</v>
      </c>
      <c r="C20" s="10">
        <v>45000</v>
      </c>
      <c r="D20" s="10">
        <v>45000</v>
      </c>
    </row>
    <row r="21" spans="2:31" x14ac:dyDescent="0.25">
      <c r="B21" t="s">
        <v>175</v>
      </c>
      <c r="C21">
        <v>14000</v>
      </c>
      <c r="D21">
        <v>9000</v>
      </c>
      <c r="F21" t="s">
        <v>176</v>
      </c>
      <c r="H21" s="39">
        <f>C58/C44</f>
        <v>0.10526315789473684</v>
      </c>
      <c r="I21" t="s">
        <v>177</v>
      </c>
    </row>
    <row r="22" spans="2:31" x14ac:dyDescent="0.25">
      <c r="B22" t="s">
        <v>178</v>
      </c>
      <c r="C22">
        <v>3000</v>
      </c>
      <c r="D22">
        <v>5000</v>
      </c>
    </row>
    <row r="23" spans="2:31" x14ac:dyDescent="0.25">
      <c r="B23" t="s">
        <v>128</v>
      </c>
      <c r="C23">
        <v>22000</v>
      </c>
      <c r="D23">
        <v>16000</v>
      </c>
      <c r="F23" t="s">
        <v>179</v>
      </c>
      <c r="H23" s="39">
        <f>C58/(C34+C36)</f>
        <v>0.16666666666666666</v>
      </c>
      <c r="I23" t="s">
        <v>177</v>
      </c>
    </row>
    <row r="24" spans="2:31" x14ac:dyDescent="0.25">
      <c r="B24" t="s">
        <v>180</v>
      </c>
      <c r="C24">
        <v>1000</v>
      </c>
      <c r="D24">
        <v>1000</v>
      </c>
    </row>
    <row r="25" spans="2:31" x14ac:dyDescent="0.25">
      <c r="B25" t="s">
        <v>131</v>
      </c>
      <c r="C25">
        <v>10000</v>
      </c>
      <c r="D25">
        <v>2000</v>
      </c>
      <c r="F25" t="s">
        <v>181</v>
      </c>
      <c r="H25" s="39">
        <f>C58/(C34+D34)*2</f>
        <v>0.36363636363636365</v>
      </c>
      <c r="I25" t="s">
        <v>166</v>
      </c>
      <c r="J25" t="s">
        <v>182</v>
      </c>
    </row>
    <row r="26" spans="2:31" x14ac:dyDescent="0.25">
      <c r="B26" s="10" t="s">
        <v>183</v>
      </c>
      <c r="C26" s="10">
        <f>SUM(C21:C25)</f>
        <v>50000</v>
      </c>
      <c r="D26" s="10">
        <f>SUM(D21:D25)</f>
        <v>33000</v>
      </c>
      <c r="F26" s="46" t="s">
        <v>184</v>
      </c>
      <c r="G26" s="46"/>
    </row>
    <row r="27" spans="2:31" x14ac:dyDescent="0.25">
      <c r="F27" t="s">
        <v>185</v>
      </c>
      <c r="H27" s="52">
        <f>C58/C48</f>
        <v>9.0909090909090912E-2</v>
      </c>
      <c r="I27" t="s">
        <v>186</v>
      </c>
    </row>
    <row r="28" spans="2:31" x14ac:dyDescent="0.25">
      <c r="B28" s="10" t="s">
        <v>76</v>
      </c>
      <c r="C28" s="10">
        <f>C20+C26</f>
        <v>95000</v>
      </c>
      <c r="D28" s="10">
        <f>D20+D26</f>
        <v>78000</v>
      </c>
      <c r="AC28" t="s">
        <v>235</v>
      </c>
    </row>
    <row r="29" spans="2:31" x14ac:dyDescent="0.25">
      <c r="F29" t="s">
        <v>187</v>
      </c>
      <c r="H29" s="45">
        <f>C48/((C44+D44)/2)</f>
        <v>1.2716763005780347</v>
      </c>
      <c r="I29" t="s">
        <v>159</v>
      </c>
      <c r="J29" t="s">
        <v>188</v>
      </c>
    </row>
    <row r="30" spans="2:31" x14ac:dyDescent="0.25">
      <c r="C30" s="10">
        <v>2014</v>
      </c>
      <c r="D30" s="10">
        <v>2013</v>
      </c>
    </row>
    <row r="31" spans="2:31" x14ac:dyDescent="0.25">
      <c r="B31" s="10" t="s">
        <v>189</v>
      </c>
      <c r="F31" t="s">
        <v>190</v>
      </c>
      <c r="AC31" s="51" t="s">
        <v>231</v>
      </c>
      <c r="AE31" s="39">
        <f>2500419/29267177</f>
        <v>8.5434239182002422E-2</v>
      </c>
    </row>
    <row r="32" spans="2:31" x14ac:dyDescent="0.25">
      <c r="B32" t="s">
        <v>191</v>
      </c>
      <c r="C32">
        <v>20000</v>
      </c>
      <c r="D32">
        <v>20000</v>
      </c>
      <c r="F32" t="s">
        <v>192</v>
      </c>
      <c r="H32" s="45">
        <f>C44/C34</f>
        <v>3.1666666666666665</v>
      </c>
      <c r="I32" t="s">
        <v>159</v>
      </c>
      <c r="J32" t="s">
        <v>193</v>
      </c>
      <c r="AC32" t="s">
        <v>236</v>
      </c>
      <c r="AE32" s="39">
        <f>2590419/(17765205+6718253+570000+2496325)</f>
        <v>9.4026838614300515E-2</v>
      </c>
    </row>
    <row r="33" spans="2:31" x14ac:dyDescent="0.25">
      <c r="B33" t="s">
        <v>194</v>
      </c>
      <c r="C33">
        <v>10000</v>
      </c>
      <c r="D33">
        <v>5000</v>
      </c>
    </row>
    <row r="34" spans="2:31" x14ac:dyDescent="0.25">
      <c r="B34" s="10" t="s">
        <v>195</v>
      </c>
      <c r="C34" s="10">
        <v>30000</v>
      </c>
      <c r="D34" s="10">
        <v>25000</v>
      </c>
      <c r="AC34" t="s">
        <v>232</v>
      </c>
      <c r="AE34" s="39">
        <f>2590419/(17765205+16475446)</f>
        <v>7.5653322128717698E-2</v>
      </c>
    </row>
    <row r="35" spans="2:31" x14ac:dyDescent="0.25">
      <c r="B35" t="s">
        <v>196</v>
      </c>
      <c r="C35">
        <v>30000</v>
      </c>
      <c r="D35">
        <v>20000</v>
      </c>
      <c r="F35" s="17" t="s">
        <v>197</v>
      </c>
      <c r="G35" s="17"/>
      <c r="H35" s="17"/>
      <c r="I35" s="17"/>
      <c r="J35" s="17"/>
    </row>
    <row r="36" spans="2:31" x14ac:dyDescent="0.25">
      <c r="B36" s="10" t="s">
        <v>198</v>
      </c>
      <c r="C36" s="10">
        <v>30000</v>
      </c>
      <c r="D36" s="10">
        <v>20000</v>
      </c>
      <c r="F36" s="17" t="s">
        <v>199</v>
      </c>
      <c r="G36" s="17"/>
      <c r="H36" s="17"/>
      <c r="I36" s="17"/>
      <c r="J36" s="17"/>
      <c r="AC36" t="s">
        <v>233</v>
      </c>
      <c r="AE36" s="50">
        <f>2590419/6384756</f>
        <v>0.40571934150655092</v>
      </c>
    </row>
    <row r="37" spans="2:31" x14ac:dyDescent="0.25">
      <c r="B37" t="s">
        <v>142</v>
      </c>
      <c r="C37">
        <v>16000</v>
      </c>
      <c r="D37">
        <v>18000</v>
      </c>
      <c r="F37" s="17" t="s">
        <v>200</v>
      </c>
      <c r="G37" s="17"/>
      <c r="H37" s="17"/>
      <c r="I37" s="17"/>
      <c r="J37" s="17"/>
    </row>
    <row r="38" spans="2:31" x14ac:dyDescent="0.25">
      <c r="B38" t="s">
        <v>201</v>
      </c>
      <c r="C38">
        <v>3000</v>
      </c>
      <c r="D38">
        <v>0</v>
      </c>
      <c r="F38" s="47" t="s">
        <v>202</v>
      </c>
      <c r="G38" s="17"/>
      <c r="H38" s="17"/>
      <c r="I38" s="47"/>
      <c r="J38" s="17"/>
      <c r="AC38" t="s">
        <v>234</v>
      </c>
      <c r="AE38">
        <f>6384756/AC40</f>
        <v>0.2229711452088986</v>
      </c>
    </row>
    <row r="39" spans="2:31" x14ac:dyDescent="0.25">
      <c r="B39" t="s">
        <v>203</v>
      </c>
      <c r="C39">
        <v>7000</v>
      </c>
      <c r="D39">
        <v>6000</v>
      </c>
      <c r="F39" s="17" t="s">
        <v>204</v>
      </c>
      <c r="G39" s="17"/>
      <c r="H39" s="17"/>
      <c r="I39" s="17"/>
      <c r="J39" s="17"/>
    </row>
    <row r="40" spans="2:31" x14ac:dyDescent="0.25">
      <c r="B40" t="s">
        <v>205</v>
      </c>
      <c r="C40">
        <v>4000</v>
      </c>
      <c r="D40">
        <v>9000</v>
      </c>
      <c r="F40" s="17" t="s">
        <v>206</v>
      </c>
      <c r="G40" s="17"/>
      <c r="H40" s="17"/>
      <c r="I40" s="17"/>
      <c r="J40" s="17"/>
      <c r="AC40">
        <f>(29267177+28002619)/2</f>
        <v>28634898</v>
      </c>
    </row>
    <row r="41" spans="2:31" x14ac:dyDescent="0.25">
      <c r="B41" t="s">
        <v>207</v>
      </c>
      <c r="C41">
        <v>5000</v>
      </c>
      <c r="D41">
        <v>0</v>
      </c>
      <c r="F41" s="17" t="s">
        <v>208</v>
      </c>
      <c r="G41" s="17"/>
      <c r="H41" s="17"/>
      <c r="I41" s="17"/>
      <c r="J41" s="17"/>
    </row>
    <row r="42" spans="2:31" x14ac:dyDescent="0.25">
      <c r="B42" s="10" t="s">
        <v>209</v>
      </c>
      <c r="C42" s="10">
        <f>SUM(C37:C41)</f>
        <v>35000</v>
      </c>
      <c r="D42" s="10">
        <f>SUM(D37:D41)</f>
        <v>33000</v>
      </c>
      <c r="F42" s="17" t="s">
        <v>210</v>
      </c>
      <c r="G42" s="17"/>
      <c r="H42" s="17"/>
      <c r="I42" s="17"/>
      <c r="J42" s="17"/>
    </row>
    <row r="44" spans="2:31" x14ac:dyDescent="0.25">
      <c r="B44" t="s">
        <v>88</v>
      </c>
      <c r="C44">
        <f>C34+C36+C42</f>
        <v>95000</v>
      </c>
      <c r="D44">
        <f>D34+D36+D42</f>
        <v>78000</v>
      </c>
      <c r="F44" s="48" t="s">
        <v>211</v>
      </c>
      <c r="G44" s="48"/>
      <c r="J44">
        <f>20000/10000</f>
        <v>2</v>
      </c>
      <c r="K44" t="s">
        <v>212</v>
      </c>
    </row>
    <row r="45" spans="2:31" x14ac:dyDescent="0.25">
      <c r="F45" s="48" t="s">
        <v>213</v>
      </c>
      <c r="G45" s="48"/>
      <c r="J45">
        <f>30000/10000</f>
        <v>3</v>
      </c>
      <c r="K45" t="s">
        <v>212</v>
      </c>
    </row>
    <row r="46" spans="2:31" x14ac:dyDescent="0.25">
      <c r="F46" s="48" t="s">
        <v>214</v>
      </c>
      <c r="G46" s="48"/>
      <c r="J46">
        <f>C58/10000</f>
        <v>1</v>
      </c>
    </row>
    <row r="47" spans="2:31" x14ac:dyDescent="0.25">
      <c r="C47">
        <v>2014</v>
      </c>
      <c r="F47" s="48" t="s">
        <v>215</v>
      </c>
      <c r="J47" s="14">
        <f>4/3</f>
        <v>1.3333333333333333</v>
      </c>
      <c r="K47" t="s">
        <v>72</v>
      </c>
    </row>
    <row r="48" spans="2:31" x14ac:dyDescent="0.25">
      <c r="B48" t="s">
        <v>35</v>
      </c>
      <c r="C48">
        <v>110000</v>
      </c>
    </row>
    <row r="49" spans="2:14" x14ac:dyDescent="0.25">
      <c r="B49" t="s">
        <v>216</v>
      </c>
      <c r="C49">
        <v>83000</v>
      </c>
    </row>
    <row r="50" spans="2:14" x14ac:dyDescent="0.25">
      <c r="B50" s="10" t="s">
        <v>37</v>
      </c>
      <c r="C50" s="10">
        <v>27000</v>
      </c>
      <c r="F50" s="48" t="s">
        <v>217</v>
      </c>
      <c r="G50" s="48"/>
      <c r="J50">
        <f>4/1</f>
        <v>4</v>
      </c>
      <c r="K50" t="s">
        <v>72</v>
      </c>
      <c r="L50" s="49" t="s">
        <v>218</v>
      </c>
      <c r="M50" s="49"/>
    </row>
    <row r="51" spans="2:14" x14ac:dyDescent="0.25">
      <c r="B51" t="s">
        <v>219</v>
      </c>
      <c r="C51">
        <v>5600</v>
      </c>
      <c r="F51" s="48" t="s">
        <v>220</v>
      </c>
      <c r="I51" t="s">
        <v>221</v>
      </c>
      <c r="L51">
        <f>5/1</f>
        <v>5</v>
      </c>
      <c r="M51" t="s">
        <v>212</v>
      </c>
    </row>
    <row r="52" spans="2:14" x14ac:dyDescent="0.25">
      <c r="B52" t="s">
        <v>222</v>
      </c>
      <c r="C52">
        <v>8000</v>
      </c>
      <c r="F52" s="48"/>
      <c r="G52" s="48"/>
    </row>
    <row r="53" spans="2:14" x14ac:dyDescent="0.25">
      <c r="B53" t="s">
        <v>223</v>
      </c>
      <c r="C53">
        <v>13400</v>
      </c>
      <c r="F53" s="48" t="s">
        <v>224</v>
      </c>
      <c r="G53" s="48"/>
      <c r="J53">
        <f>4*10000</f>
        <v>40000</v>
      </c>
      <c r="K53" t="s">
        <v>212</v>
      </c>
    </row>
    <row r="54" spans="2:14" x14ac:dyDescent="0.25">
      <c r="B54" t="s">
        <v>40</v>
      </c>
      <c r="C54">
        <v>3000</v>
      </c>
      <c r="F54" s="48"/>
      <c r="G54" s="48"/>
    </row>
    <row r="55" spans="2:14" x14ac:dyDescent="0.25">
      <c r="B55" t="s">
        <v>42</v>
      </c>
      <c r="C55">
        <v>2400</v>
      </c>
      <c r="F55" s="48" t="s">
        <v>225</v>
      </c>
      <c r="G55" s="48"/>
      <c r="J55">
        <f>5000/10000</f>
        <v>0.5</v>
      </c>
      <c r="K55" t="s">
        <v>212</v>
      </c>
    </row>
    <row r="56" spans="2:14" x14ac:dyDescent="0.25">
      <c r="B56" s="10" t="s">
        <v>226</v>
      </c>
      <c r="C56" s="10">
        <v>14000</v>
      </c>
      <c r="F56" s="48"/>
      <c r="G56" s="48"/>
      <c r="J56" s="50"/>
    </row>
    <row r="57" spans="2:14" x14ac:dyDescent="0.25">
      <c r="B57" t="s">
        <v>227</v>
      </c>
      <c r="C57">
        <v>4000</v>
      </c>
      <c r="F57" s="48" t="s">
        <v>228</v>
      </c>
      <c r="G57" s="48"/>
      <c r="J57" s="51"/>
      <c r="K57" s="50">
        <f>(0.5/4)</f>
        <v>0.125</v>
      </c>
      <c r="L57" s="51"/>
    </row>
    <row r="58" spans="2:14" x14ac:dyDescent="0.25">
      <c r="B58" s="10" t="s">
        <v>229</v>
      </c>
      <c r="C58" s="10">
        <v>10000</v>
      </c>
      <c r="F58" s="48"/>
      <c r="G58" s="48"/>
    </row>
    <row r="59" spans="2:14" x14ac:dyDescent="0.25">
      <c r="C59">
        <v>5000</v>
      </c>
      <c r="F59" t="s">
        <v>230</v>
      </c>
      <c r="N59" s="51">
        <f>5000/10000</f>
        <v>0.5</v>
      </c>
    </row>
    <row r="60" spans="2:14" x14ac:dyDescent="0.25">
      <c r="C60">
        <f>C58-C59</f>
        <v>5000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5</vt:i4>
      </vt:variant>
    </vt:vector>
  </HeadingPairs>
  <TitlesOfParts>
    <vt:vector size="5" baseType="lpstr">
      <vt:lpstr>ΔΕΛΤΑ ΑΕ</vt:lpstr>
      <vt:lpstr>ΑΛΦΑ</vt:lpstr>
      <vt:lpstr>ΩΜΕΓΑ</vt:lpstr>
      <vt:lpstr>ΥΨΙΛΟΝ</vt:lpstr>
      <vt:lpstr>ΣΙΘΩΝΙΑ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2020-05-30T06:16:54Z</cp:lastPrinted>
  <dcterms:created xsi:type="dcterms:W3CDTF">2020-02-05T19:58:00Z</dcterms:created>
  <dcterms:modified xsi:type="dcterms:W3CDTF">2024-07-02T12:23:57Z</dcterms:modified>
</cp:coreProperties>
</file>