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9720" windowHeight="5520" activeTab="3"/>
  </bookViews>
  <sheets>
    <sheet name="Graph" sheetId="1" r:id="rId1"/>
    <sheet name="GraphData" sheetId="2" r:id="rId2"/>
    <sheet name="ThornEx" sheetId="3" r:id="rId3"/>
    <sheet name="Graph (2)" sheetId="4" r:id="rId4"/>
  </sheets>
  <definedNames>
    <definedName name="_Fill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<sst xmlns="http://schemas.openxmlformats.org/spreadsheetml/2006/main" count="70" uniqueCount="45">
  <si>
    <t>THORNTHWAITE-TYPE MONTHLY WATER-BALANCE MODEL</t>
  </si>
  <si>
    <t>Temperatures in C, water-balance terms in mm.</t>
  </si>
  <si>
    <t>Location:</t>
  </si>
  <si>
    <t>Omaha, NE</t>
  </si>
  <si>
    <t>Lat. =</t>
  </si>
  <si>
    <t>degree</t>
  </si>
  <si>
    <t>mm</t>
  </si>
  <si>
    <t>J</t>
  </si>
  <si>
    <t>F</t>
  </si>
  <si>
    <t>M</t>
  </si>
  <si>
    <t>A</t>
  </si>
  <si>
    <t>S</t>
  </si>
  <si>
    <t>O</t>
  </si>
  <si>
    <t>N</t>
  </si>
  <si>
    <t>D</t>
  </si>
  <si>
    <t>Year</t>
  </si>
  <si>
    <t>=</t>
  </si>
  <si>
    <t>P</t>
  </si>
  <si>
    <t>T</t>
  </si>
  <si>
    <t>RAIN</t>
  </si>
  <si>
    <t>SNOW</t>
  </si>
  <si>
    <t>PACK</t>
  </si>
  <si>
    <t>MELT</t>
  </si>
  <si>
    <t>W</t>
  </si>
  <si>
    <t>PET</t>
  </si>
  <si>
    <t>W - PET</t>
  </si>
  <si>
    <t>SOIL</t>
  </si>
  <si>
    <t>/\SOIL</t>
  </si>
  <si>
    <t>ET</t>
  </si>
  <si>
    <t>W-ET-/\SOIL</t>
  </si>
  <si>
    <t>SOILmax =</t>
  </si>
  <si>
    <t>Month</t>
  </si>
  <si>
    <t>Declination (deg)</t>
  </si>
  <si>
    <t>Declination (rad)</t>
  </si>
  <si>
    <t>rad</t>
  </si>
  <si>
    <t>Month:</t>
  </si>
  <si>
    <t>WATER BALANCE</t>
  </si>
  <si>
    <t>Input Data</t>
  </si>
  <si>
    <t>Computed Values</t>
  </si>
  <si>
    <t>DayLength (hr)*</t>
  </si>
  <si>
    <t>*For lat. &gt; 66.5, replace #NUM! with 24 in summer; 0 in winter.</t>
  </si>
  <si>
    <t>See Box 7-3. PET computed via Hamon equation [Eqn.( 7-63)].</t>
  </si>
  <si>
    <t>S.L. Dingman</t>
  </si>
  <si>
    <r>
      <t>Physical Hydrology</t>
    </r>
    <r>
      <rPr>
        <sz val="8"/>
        <rFont val="Helv"/>
        <family val="0"/>
      </rPr>
      <t>, 2nd Ed.</t>
    </r>
  </si>
  <si>
    <t>ThornEx.xls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</si>
</sst>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General_)"/>
    <numFmt numFmtId="174" formatCode="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31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6">
    <xf numFmtId="173" fontId="0" fillId="0" borderId="0" xfId="0" applyAlignment="1">
      <alignment/>
    </xf>
    <xf numFmtId="173" fontId="4" fillId="0" borderId="0" xfId="0" applyFont="1" applyAlignment="1">
      <alignment/>
    </xf>
    <xf numFmtId="173" fontId="4" fillId="0" borderId="0" xfId="0" applyFont="1" applyAlignment="1">
      <alignment horizontal="left"/>
    </xf>
    <xf numFmtId="173" fontId="4" fillId="0" borderId="0" xfId="0" applyFont="1" applyAlignment="1" quotePrefix="1">
      <alignment horizontal="left"/>
    </xf>
    <xf numFmtId="173" fontId="2" fillId="0" borderId="0" xfId="0" applyFont="1" applyAlignment="1">
      <alignment/>
    </xf>
    <xf numFmtId="173" fontId="2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3" fontId="3" fillId="0" borderId="0" xfId="0" applyFont="1" applyAlignment="1">
      <alignment/>
    </xf>
    <xf numFmtId="173" fontId="1" fillId="0" borderId="0" xfId="0" applyFont="1" applyAlignment="1" quotePrefix="1">
      <alignment horizontal="left"/>
    </xf>
    <xf numFmtId="173" fontId="4" fillId="0" borderId="0" xfId="0" applyFont="1" applyAlignment="1">
      <alignment horizontal="right"/>
    </xf>
    <xf numFmtId="173" fontId="1" fillId="0" borderId="0" xfId="0" applyFont="1" applyAlignment="1">
      <alignment horizontal="right"/>
    </xf>
    <xf numFmtId="173" fontId="1" fillId="0" borderId="0" xfId="0" applyFont="1" applyAlignment="1">
      <alignment/>
    </xf>
    <xf numFmtId="2" fontId="5" fillId="33" borderId="0" xfId="0" applyNumberFormat="1" applyFont="1" applyFill="1" applyAlignment="1">
      <alignment/>
    </xf>
    <xf numFmtId="173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3" fontId="5" fillId="0" borderId="13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73" fontId="5" fillId="0" borderId="15" xfId="0" applyFont="1" applyBorder="1" applyAlignment="1">
      <alignment/>
    </xf>
    <xf numFmtId="174" fontId="6" fillId="33" borderId="16" xfId="0" applyNumberFormat="1" applyFont="1" applyFill="1" applyBorder="1" applyAlignment="1">
      <alignment/>
    </xf>
    <xf numFmtId="174" fontId="6" fillId="33" borderId="17" xfId="0" applyNumberFormat="1" applyFont="1" applyFill="1" applyBorder="1" applyAlignment="1">
      <alignment/>
    </xf>
    <xf numFmtId="173" fontId="0" fillId="0" borderId="18" xfId="0" applyBorder="1" applyAlignment="1">
      <alignment/>
    </xf>
    <xf numFmtId="173" fontId="1" fillId="0" borderId="19" xfId="0" applyFont="1" applyBorder="1" applyAlignment="1">
      <alignment horizontal="fill"/>
    </xf>
    <xf numFmtId="173" fontId="1" fillId="0" borderId="0" xfId="0" applyFont="1" applyBorder="1" applyAlignment="1">
      <alignment horizontal="fill"/>
    </xf>
    <xf numFmtId="1" fontId="1" fillId="0" borderId="20" xfId="0" applyNumberFormat="1" applyFont="1" applyBorder="1" applyAlignment="1">
      <alignment horizontal="fill"/>
    </xf>
    <xf numFmtId="173" fontId="3" fillId="0" borderId="19" xfId="0" applyFont="1" applyBorder="1" applyAlignment="1">
      <alignment/>
    </xf>
    <xf numFmtId="1" fontId="4" fillId="33" borderId="20" xfId="0" applyNumberFormat="1" applyFont="1" applyFill="1" applyBorder="1" applyAlignment="1" applyProtection="1">
      <alignment/>
      <protection/>
    </xf>
    <xf numFmtId="173" fontId="3" fillId="0" borderId="19" xfId="0" applyFont="1" applyBorder="1" applyAlignment="1" quotePrefix="1">
      <alignment horizontal="left"/>
    </xf>
    <xf numFmtId="1" fontId="0" fillId="0" borderId="20" xfId="0" applyNumberFormat="1" applyBorder="1" applyAlignment="1">
      <alignment/>
    </xf>
    <xf numFmtId="2" fontId="3" fillId="0" borderId="19" xfId="0" applyNumberFormat="1" applyFont="1" applyBorder="1" applyAlignment="1">
      <alignment horizontal="left"/>
    </xf>
    <xf numFmtId="2" fontId="4" fillId="33" borderId="0" xfId="0" applyNumberFormat="1" applyFont="1" applyFill="1" applyBorder="1" applyAlignment="1">
      <alignment/>
    </xf>
    <xf numFmtId="1" fontId="4" fillId="0" borderId="20" xfId="0" applyNumberFormat="1" applyFont="1" applyBorder="1" applyAlignment="1">
      <alignment/>
    </xf>
    <xf numFmtId="1" fontId="4" fillId="33" borderId="0" xfId="0" applyNumberFormat="1" applyFont="1" applyFill="1" applyBorder="1" applyAlignment="1">
      <alignment/>
    </xf>
    <xf numFmtId="173" fontId="3" fillId="0" borderId="19" xfId="0" applyFont="1" applyBorder="1" applyAlignment="1">
      <alignment horizontal="left"/>
    </xf>
    <xf numFmtId="173" fontId="3" fillId="0" borderId="19" xfId="0" applyFont="1" applyBorder="1" applyAlignment="1">
      <alignment/>
    </xf>
    <xf numFmtId="1" fontId="4" fillId="33" borderId="0" xfId="0" applyNumberFormat="1" applyFont="1" applyFill="1" applyBorder="1" applyAlignment="1" applyProtection="1">
      <alignment/>
      <protection/>
    </xf>
    <xf numFmtId="173" fontId="3" fillId="0" borderId="19" xfId="0" applyFont="1" applyBorder="1" applyAlignment="1" quotePrefix="1">
      <alignment horizontal="left"/>
    </xf>
    <xf numFmtId="1" fontId="4" fillId="0" borderId="20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>
      <alignment horizontal="left"/>
    </xf>
    <xf numFmtId="173" fontId="1" fillId="0" borderId="0" xfId="0" applyFont="1" applyBorder="1" applyAlignment="1">
      <alignment horizontal="center"/>
    </xf>
    <xf numFmtId="173" fontId="0" fillId="0" borderId="0" xfId="0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73" fontId="4" fillId="0" borderId="0" xfId="0" applyFont="1" applyBorder="1" applyAlignment="1">
      <alignment/>
    </xf>
    <xf numFmtId="173" fontId="0" fillId="0" borderId="22" xfId="0" applyBorder="1" applyAlignment="1">
      <alignment/>
    </xf>
    <xf numFmtId="173" fontId="7" fillId="0" borderId="22" xfId="0" applyFont="1" applyBorder="1" applyAlignment="1">
      <alignment horizontal="center"/>
    </xf>
    <xf numFmtId="173" fontId="0" fillId="0" borderId="23" xfId="0" applyBorder="1" applyAlignment="1">
      <alignment/>
    </xf>
    <xf numFmtId="173" fontId="0" fillId="0" borderId="19" xfId="0" applyBorder="1" applyAlignment="1">
      <alignment/>
    </xf>
    <xf numFmtId="173" fontId="4" fillId="0" borderId="0" xfId="0" applyFont="1" applyBorder="1" applyAlignment="1" quotePrefix="1">
      <alignment horizontal="left"/>
    </xf>
    <xf numFmtId="173" fontId="0" fillId="0" borderId="20" xfId="0" applyBorder="1" applyAlignment="1">
      <alignment/>
    </xf>
    <xf numFmtId="173" fontId="1" fillId="0" borderId="19" xfId="0" applyFont="1" applyBorder="1" applyAlignment="1">
      <alignment horizontal="right"/>
    </xf>
    <xf numFmtId="1" fontId="1" fillId="0" borderId="20" xfId="0" applyNumberFormat="1" applyFont="1" applyBorder="1" applyAlignment="1">
      <alignment horizontal="center"/>
    </xf>
    <xf numFmtId="173" fontId="4" fillId="33" borderId="0" xfId="0" applyFont="1" applyFill="1" applyAlignment="1">
      <alignment/>
    </xf>
    <xf numFmtId="173" fontId="4" fillId="34" borderId="0" xfId="0" applyFont="1" applyFill="1" applyAlignment="1">
      <alignment horizontal="left"/>
    </xf>
    <xf numFmtId="1" fontId="9" fillId="33" borderId="20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 applyProtection="1">
      <alignment/>
      <protection/>
    </xf>
    <xf numFmtId="1" fontId="9" fillId="33" borderId="24" xfId="0" applyNumberFormat="1" applyFont="1" applyFill="1" applyBorder="1" applyAlignment="1">
      <alignment/>
    </xf>
    <xf numFmtId="1" fontId="9" fillId="33" borderId="25" xfId="0" applyNumberFormat="1" applyFont="1" applyFill="1" applyBorder="1" applyAlignment="1" applyProtection="1">
      <alignment/>
      <protection/>
    </xf>
    <xf numFmtId="173" fontId="6" fillId="35" borderId="10" xfId="0" applyFont="1" applyFill="1" applyBorder="1" applyAlignment="1">
      <alignment/>
    </xf>
    <xf numFmtId="173" fontId="6" fillId="35" borderId="11" xfId="0" applyFont="1" applyFill="1" applyBorder="1" applyAlignment="1">
      <alignment/>
    </xf>
    <xf numFmtId="173" fontId="5" fillId="35" borderId="12" xfId="0" applyFont="1" applyFill="1" applyBorder="1" applyAlignment="1">
      <alignment horizontal="right"/>
    </xf>
    <xf numFmtId="173" fontId="6" fillId="35" borderId="13" xfId="0" applyFont="1" applyFill="1" applyBorder="1" applyAlignment="1">
      <alignment/>
    </xf>
    <xf numFmtId="173" fontId="6" fillId="35" borderId="0" xfId="0" applyFont="1" applyFill="1" applyBorder="1" applyAlignment="1">
      <alignment/>
    </xf>
    <xf numFmtId="173" fontId="5" fillId="35" borderId="14" xfId="0" applyFont="1" applyFill="1" applyBorder="1" applyAlignment="1">
      <alignment horizontal="right"/>
    </xf>
    <xf numFmtId="173" fontId="6" fillId="35" borderId="15" xfId="0" applyFont="1" applyFill="1" applyBorder="1" applyAlignment="1">
      <alignment/>
    </xf>
    <xf numFmtId="173" fontId="6" fillId="35" borderId="16" xfId="0" applyFont="1" applyFill="1" applyBorder="1" applyAlignment="1">
      <alignment/>
    </xf>
    <xf numFmtId="173" fontId="10" fillId="35" borderId="17" xfId="0" applyFont="1" applyFill="1" applyBorder="1" applyAlignment="1">
      <alignment horizontal="right"/>
    </xf>
    <xf numFmtId="173" fontId="4" fillId="36" borderId="0" xfId="0" applyFont="1" applyFill="1" applyAlignment="1">
      <alignment/>
    </xf>
    <xf numFmtId="173" fontId="0" fillId="36" borderId="0" xfId="0" applyFill="1" applyAlignment="1">
      <alignment/>
    </xf>
    <xf numFmtId="173" fontId="1" fillId="34" borderId="0" xfId="0" applyFont="1" applyFill="1" applyAlignment="1" applyProtection="1">
      <alignment horizontal="left"/>
      <protection locked="0"/>
    </xf>
    <xf numFmtId="173" fontId="4" fillId="34" borderId="0" xfId="0" applyFont="1" applyFill="1" applyAlignment="1" applyProtection="1">
      <alignment/>
      <protection locked="0"/>
    </xf>
    <xf numFmtId="174" fontId="1" fillId="34" borderId="0" xfId="0" applyNumberFormat="1" applyFont="1" applyFill="1" applyAlignment="1" applyProtection="1">
      <alignment/>
      <protection locked="0"/>
    </xf>
    <xf numFmtId="1" fontId="1" fillId="34" borderId="0" xfId="0" applyNumberFormat="1" applyFont="1" applyFill="1" applyAlignment="1" applyProtection="1">
      <alignment/>
      <protection locked="0"/>
    </xf>
    <xf numFmtId="1" fontId="8" fillId="34" borderId="0" xfId="0" applyNumberFormat="1" applyFont="1" applyFill="1" applyBorder="1" applyAlignment="1" applyProtection="1">
      <alignment/>
      <protection locked="0"/>
    </xf>
    <xf numFmtId="174" fontId="1" fillId="34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MONTHLY WATER BALANCE</a:t>
            </a:r>
          </a:p>
        </c:rich>
      </c:tx>
      <c:layout>
        <c:manualLayout>
          <c:xMode val="factor"/>
          <c:yMode val="factor"/>
          <c:x val="-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35"/>
          <c:w val="0.803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GraphData!$B$5:$B$16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37</c:v>
                </c:pt>
                <c:pt idx="3">
                  <c:v>65</c:v>
                </c:pt>
                <c:pt idx="4">
                  <c:v>88</c:v>
                </c:pt>
                <c:pt idx="5">
                  <c:v>115</c:v>
                </c:pt>
                <c:pt idx="6">
                  <c:v>86</c:v>
                </c:pt>
                <c:pt idx="7">
                  <c:v>101</c:v>
                </c:pt>
                <c:pt idx="8">
                  <c:v>67</c:v>
                </c:pt>
                <c:pt idx="9">
                  <c:v>44</c:v>
                </c:pt>
                <c:pt idx="10">
                  <c:v>32</c:v>
                </c:pt>
                <c:pt idx="11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v>PACK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GraphData!$C$5:$C$16</c:f>
              <c:numCache>
                <c:ptCount val="12"/>
                <c:pt idx="0">
                  <c:v>45.30222222222223</c:v>
                </c:pt>
                <c:pt idx="1">
                  <c:v>69.30222222222223</c:v>
                </c:pt>
                <c:pt idx="2">
                  <c:v>49.30872222222223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4.302222222222223</c:v>
                </c:pt>
                <c:pt idx="11">
                  <c:v>24.302222222222223</c:v>
                </c:pt>
              </c:numCache>
            </c:numRef>
          </c:yVal>
          <c:smooth val="0"/>
        </c:ser>
        <c:ser>
          <c:idx val="2"/>
          <c:order val="2"/>
          <c:tx>
            <c:v>W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56.99350000000001</c:v>
                </c:pt>
                <c:pt idx="3">
                  <c:v>114.30872222222223</c:v>
                </c:pt>
                <c:pt idx="4">
                  <c:v>88</c:v>
                </c:pt>
                <c:pt idx="5">
                  <c:v>115</c:v>
                </c:pt>
                <c:pt idx="6">
                  <c:v>86</c:v>
                </c:pt>
                <c:pt idx="7">
                  <c:v>101</c:v>
                </c:pt>
                <c:pt idx="8">
                  <c:v>67</c:v>
                </c:pt>
                <c:pt idx="9">
                  <c:v>44</c:v>
                </c:pt>
                <c:pt idx="10">
                  <c:v>27.697777777777777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SOIL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GraphData!$E$5:$E$16</c:f>
              <c:numCache>
                <c:ptCount val="12"/>
                <c:pt idx="0">
                  <c:v>25.64625807409724</c:v>
                </c:pt>
                <c:pt idx="1">
                  <c:v>25.64625807409724</c:v>
                </c:pt>
                <c:pt idx="2">
                  <c:v>53.39157131715547</c:v>
                </c:pt>
                <c:pt idx="3">
                  <c:v>100</c:v>
                </c:pt>
                <c:pt idx="4">
                  <c:v>98.30131483805476</c:v>
                </c:pt>
                <c:pt idx="5">
                  <c:v>84.57434420990562</c:v>
                </c:pt>
                <c:pt idx="6">
                  <c:v>44.10846495424616</c:v>
                </c:pt>
                <c:pt idx="7">
                  <c:v>32.54553104847706</c:v>
                </c:pt>
                <c:pt idx="8">
                  <c:v>26.354081371182655</c:v>
                </c:pt>
                <c:pt idx="9">
                  <c:v>23.934465879434775</c:v>
                </c:pt>
                <c:pt idx="10">
                  <c:v>25.64625807409724</c:v>
                </c:pt>
                <c:pt idx="11">
                  <c:v>25.64625807409724</c:v>
                </c:pt>
              </c:numCache>
            </c:numRef>
          </c:yVal>
          <c:smooth val="0"/>
        </c:ser>
        <c:ser>
          <c:idx val="4"/>
          <c:order val="4"/>
          <c:tx>
            <c:v>ET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29.248186756941784</c:v>
                </c:pt>
                <c:pt idx="3">
                  <c:v>55.921154334119784</c:v>
                </c:pt>
                <c:pt idx="4">
                  <c:v>89.69868516194524</c:v>
                </c:pt>
                <c:pt idx="5">
                  <c:v>128.72697062814916</c:v>
                </c:pt>
                <c:pt idx="6">
                  <c:v>126.46587925565947</c:v>
                </c:pt>
                <c:pt idx="7">
                  <c:v>112.5629339057691</c:v>
                </c:pt>
                <c:pt idx="8">
                  <c:v>73.1914496772944</c:v>
                </c:pt>
                <c:pt idx="9">
                  <c:v>46.419615491747884</c:v>
                </c:pt>
                <c:pt idx="10">
                  <c:v>25.985985583115312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W - ET - /\SOIL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GraphData!$G$5:$G$16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11.779139205257913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8369256"/>
        <c:axId val="53996713"/>
      </c:scatterChart>
      <c:val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 val="autoZero"/>
        <c:crossBetween val="midCat"/>
        <c:dispUnits/>
      </c:valAx>
      <c:val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095"/>
          <c:w val="0.143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MONTHLY WATER BALANCE</a:t>
            </a:r>
          </a:p>
        </c:rich>
      </c:tx>
      <c:layout>
        <c:manualLayout>
          <c:xMode val="factor"/>
          <c:yMode val="factor"/>
          <c:x val="-0.001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015"/>
          <c:w val="0.79225"/>
          <c:h val="0.84475"/>
        </c:manualLayout>
      </c:layout>
      <c:areaChart>
        <c:grouping val="standard"/>
        <c:varyColors val="0"/>
        <c:ser>
          <c:idx val="0"/>
          <c:order val="0"/>
          <c:tx>
            <c:v>P</c:v>
          </c:tx>
          <c:spPr>
            <a:solidFill>
              <a:srgbClr val="B9CD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B9CDE5"/>
              </a:solidFill>
              <a:ln w="3175">
                <a:noFill/>
              </a:ln>
            </c:spPr>
          </c:dPt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GraphData!$B$5:$B$16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37</c:v>
                </c:pt>
                <c:pt idx="3">
                  <c:v>65</c:v>
                </c:pt>
                <c:pt idx="4">
                  <c:v>88</c:v>
                </c:pt>
                <c:pt idx="5">
                  <c:v>115</c:v>
                </c:pt>
                <c:pt idx="6">
                  <c:v>86</c:v>
                </c:pt>
                <c:pt idx="7">
                  <c:v>101</c:v>
                </c:pt>
                <c:pt idx="8">
                  <c:v>67</c:v>
                </c:pt>
                <c:pt idx="9">
                  <c:v>44</c:v>
                </c:pt>
                <c:pt idx="10">
                  <c:v>32</c:v>
                </c:pt>
                <c:pt idx="11">
                  <c:v>20</c:v>
                </c:pt>
              </c:numCache>
            </c:numRef>
          </c:val>
        </c:ser>
        <c:ser>
          <c:idx val="6"/>
          <c:order val="6"/>
          <c:tx>
            <c:v>PET</c:v>
          </c:tx>
          <c:spPr>
            <a:solidFill>
              <a:srgbClr val="FCD5B5">
                <a:alpha val="54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GraphData!$H$5:$H$16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29.248186756941784</c:v>
                </c:pt>
                <c:pt idx="3">
                  <c:v>55.921154334119784</c:v>
                </c:pt>
                <c:pt idx="4">
                  <c:v>89.71327831558112</c:v>
                </c:pt>
                <c:pt idx="5">
                  <c:v>130.04064421428876</c:v>
                </c:pt>
                <c:pt idx="6">
                  <c:v>151.09792475805824</c:v>
                </c:pt>
                <c:pt idx="7">
                  <c:v>131.40116488577135</c:v>
                </c:pt>
                <c:pt idx="8">
                  <c:v>88.10169105110889</c:v>
                </c:pt>
                <c:pt idx="9">
                  <c:v>53.630364660578785</c:v>
                </c:pt>
                <c:pt idx="10">
                  <c:v>25.985985583115312</c:v>
                </c:pt>
                <c:pt idx="11">
                  <c:v>0</c:v>
                </c:pt>
              </c:numCache>
            </c:numRef>
          </c:val>
        </c:ser>
        <c:axId val="16208370"/>
        <c:axId val="11657603"/>
      </c:areaChart>
      <c:lineChart>
        <c:grouping val="standard"/>
        <c:varyColors val="0"/>
        <c:ser>
          <c:idx val="1"/>
          <c:order val="1"/>
          <c:tx>
            <c:v>PACK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GraphData!$C$5:$C$16</c:f>
              <c:numCache>
                <c:ptCount val="12"/>
                <c:pt idx="0">
                  <c:v>45.30222222222223</c:v>
                </c:pt>
                <c:pt idx="1">
                  <c:v>69.30222222222223</c:v>
                </c:pt>
                <c:pt idx="2">
                  <c:v>49.30872222222223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4.302222222222223</c:v>
                </c:pt>
                <c:pt idx="11">
                  <c:v>24.302222222222223</c:v>
                </c:pt>
              </c:numCache>
            </c:numRef>
          </c:val>
          <c:smooth val="0"/>
        </c:ser>
        <c:ser>
          <c:idx val="2"/>
          <c:order val="2"/>
          <c:tx>
            <c:v>W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56.99350000000001</c:v>
                </c:pt>
                <c:pt idx="3">
                  <c:v>114.30872222222223</c:v>
                </c:pt>
                <c:pt idx="4">
                  <c:v>88</c:v>
                </c:pt>
                <c:pt idx="5">
                  <c:v>115</c:v>
                </c:pt>
                <c:pt idx="6">
                  <c:v>86</c:v>
                </c:pt>
                <c:pt idx="7">
                  <c:v>101</c:v>
                </c:pt>
                <c:pt idx="8">
                  <c:v>67</c:v>
                </c:pt>
                <c:pt idx="9">
                  <c:v>44</c:v>
                </c:pt>
                <c:pt idx="10">
                  <c:v>27.697777777777777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SOIL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GraphData!$E$5:$E$16</c:f>
              <c:numCache>
                <c:ptCount val="12"/>
                <c:pt idx="0">
                  <c:v>25.64625807409724</c:v>
                </c:pt>
                <c:pt idx="1">
                  <c:v>25.64625807409724</c:v>
                </c:pt>
                <c:pt idx="2">
                  <c:v>53.39157131715547</c:v>
                </c:pt>
                <c:pt idx="3">
                  <c:v>100</c:v>
                </c:pt>
                <c:pt idx="4">
                  <c:v>98.30131483805476</c:v>
                </c:pt>
                <c:pt idx="5">
                  <c:v>84.57434420990562</c:v>
                </c:pt>
                <c:pt idx="6">
                  <c:v>44.10846495424616</c:v>
                </c:pt>
                <c:pt idx="7">
                  <c:v>32.54553104847706</c:v>
                </c:pt>
                <c:pt idx="8">
                  <c:v>26.354081371182655</c:v>
                </c:pt>
                <c:pt idx="9">
                  <c:v>23.934465879434775</c:v>
                </c:pt>
                <c:pt idx="10">
                  <c:v>25.64625807409724</c:v>
                </c:pt>
                <c:pt idx="11">
                  <c:v>25.64625807409724</c:v>
                </c:pt>
              </c:numCache>
            </c:numRef>
          </c:val>
          <c:smooth val="0"/>
        </c:ser>
        <c:ser>
          <c:idx val="4"/>
          <c:order val="4"/>
          <c:tx>
            <c:v>ET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29.248186756941784</c:v>
                </c:pt>
                <c:pt idx="3">
                  <c:v>55.921154334119784</c:v>
                </c:pt>
                <c:pt idx="4">
                  <c:v>89.69868516194524</c:v>
                </c:pt>
                <c:pt idx="5">
                  <c:v>128.72697062814916</c:v>
                </c:pt>
                <c:pt idx="6">
                  <c:v>126.46587925565947</c:v>
                </c:pt>
                <c:pt idx="7">
                  <c:v>112.5629339057691</c:v>
                </c:pt>
                <c:pt idx="8">
                  <c:v>73.1914496772944</c:v>
                </c:pt>
                <c:pt idx="9">
                  <c:v>46.419615491747884</c:v>
                </c:pt>
                <c:pt idx="10">
                  <c:v>25.985985583115312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W - ET - /\SOIL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GraphData!$A$5:$A$16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GraphData!$G$5:$G$16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11.779139205257913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208370"/>
        <c:axId val="11657603"/>
      </c:lineChart>
      <c:cat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 (mm)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115"/>
          <c:w val="0.148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H5" sqref="H5:H16"/>
    </sheetView>
  </sheetViews>
  <sheetFormatPr defaultColWidth="8.88671875" defaultRowHeight="15.75"/>
  <cols>
    <col min="1" max="1" width="4.77734375" style="0" bestFit="1" customWidth="1"/>
    <col min="2" max="2" width="3.10546875" style="0" bestFit="1" customWidth="1"/>
    <col min="3" max="3" width="4.77734375" style="0" bestFit="1" customWidth="1"/>
    <col min="4" max="4" width="3.5546875" style="0" bestFit="1" customWidth="1"/>
    <col min="5" max="5" width="3.99609375" style="0" bestFit="1" customWidth="1"/>
    <col min="6" max="6" width="3.10546875" style="0" bestFit="1" customWidth="1"/>
    <col min="7" max="7" width="8.99609375" style="0" bestFit="1" customWidth="1"/>
  </cols>
  <sheetData>
    <row r="4" spans="1:8" ht="15">
      <c r="A4" s="10" t="s">
        <v>31</v>
      </c>
      <c r="B4" s="7" t="s">
        <v>17</v>
      </c>
      <c r="C4" s="11" t="s">
        <v>21</v>
      </c>
      <c r="D4" s="11" t="s">
        <v>23</v>
      </c>
      <c r="E4" s="11" t="s">
        <v>26</v>
      </c>
      <c r="F4" s="11" t="s">
        <v>28</v>
      </c>
      <c r="G4" s="11" t="s">
        <v>29</v>
      </c>
      <c r="H4" s="11" t="s">
        <v>24</v>
      </c>
    </row>
    <row r="5" spans="1:8" ht="15">
      <c r="A5" s="1">
        <v>1</v>
      </c>
      <c r="B5" s="6">
        <f>ThornEx!B15</f>
        <v>21</v>
      </c>
      <c r="C5" s="6">
        <f>ThornEx!B20</f>
        <v>45.30222222222223</v>
      </c>
      <c r="D5" s="1">
        <f>ThornEx!B22</f>
        <v>0</v>
      </c>
      <c r="E5" s="1">
        <f>ThornEx!B25</f>
        <v>25.64625807409724</v>
      </c>
      <c r="F5" s="6">
        <f>ThornEx!B27</f>
        <v>0</v>
      </c>
      <c r="G5" s="6">
        <f>ThornEx!B28</f>
        <v>0</v>
      </c>
      <c r="H5">
        <v>0</v>
      </c>
    </row>
    <row r="6" spans="1:8" ht="15">
      <c r="A6" s="1">
        <v>2</v>
      </c>
      <c r="B6" s="6">
        <f>ThornEx!C15</f>
        <v>24</v>
      </c>
      <c r="C6" s="6">
        <f>ThornEx!C20</f>
        <v>69.30222222222223</v>
      </c>
      <c r="D6" s="1">
        <f>ThornEx!C22</f>
        <v>0</v>
      </c>
      <c r="E6" s="1">
        <f>ThornEx!C25</f>
        <v>25.64625807409724</v>
      </c>
      <c r="F6" s="6">
        <f>ThornEx!C27</f>
        <v>0</v>
      </c>
      <c r="G6" s="6">
        <f>ThornEx!C28</f>
        <v>0</v>
      </c>
      <c r="H6">
        <v>0</v>
      </c>
    </row>
    <row r="7" spans="1:8" ht="15">
      <c r="A7" s="1">
        <v>3</v>
      </c>
      <c r="B7" s="6">
        <f>ThornEx!D15</f>
        <v>37</v>
      </c>
      <c r="C7" s="6">
        <f>ThornEx!D20</f>
        <v>49.30872222222223</v>
      </c>
      <c r="D7" s="1">
        <f>ThornEx!D22</f>
        <v>56.99350000000001</v>
      </c>
      <c r="E7" s="1">
        <f>ThornEx!D25</f>
        <v>53.39157131715547</v>
      </c>
      <c r="F7" s="6">
        <f>ThornEx!D27</f>
        <v>29.248186756941784</v>
      </c>
      <c r="G7" s="6">
        <f>ThornEx!D28</f>
        <v>0</v>
      </c>
      <c r="H7">
        <v>29.248186756941784</v>
      </c>
    </row>
    <row r="8" spans="1:8" ht="15">
      <c r="A8" s="1">
        <v>4</v>
      </c>
      <c r="B8" s="6">
        <f>ThornEx!E15</f>
        <v>65</v>
      </c>
      <c r="C8" s="6">
        <f>ThornEx!E20</f>
        <v>0</v>
      </c>
      <c r="D8" s="1">
        <f>ThornEx!E22</f>
        <v>114.30872222222223</v>
      </c>
      <c r="E8" s="1">
        <f>ThornEx!E25</f>
        <v>100</v>
      </c>
      <c r="F8" s="6">
        <f>ThornEx!E27</f>
        <v>55.921154334119784</v>
      </c>
      <c r="G8" s="6">
        <f>ThornEx!E28</f>
        <v>11.779139205257913</v>
      </c>
      <c r="H8">
        <v>55.921154334119784</v>
      </c>
    </row>
    <row r="9" spans="1:8" ht="15">
      <c r="A9" s="1">
        <v>5</v>
      </c>
      <c r="B9" s="9">
        <f>ThornEx!F15</f>
        <v>88</v>
      </c>
      <c r="C9" s="9">
        <f>ThornEx!F20</f>
        <v>0</v>
      </c>
      <c r="D9" s="1">
        <f>ThornEx!F22</f>
        <v>88</v>
      </c>
      <c r="E9" s="1">
        <f>ThornEx!F25</f>
        <v>98.30131483805476</v>
      </c>
      <c r="F9" s="6">
        <f>ThornEx!F27</f>
        <v>89.69868516194524</v>
      </c>
      <c r="G9" s="6">
        <f>ThornEx!F28</f>
        <v>0</v>
      </c>
      <c r="H9">
        <v>89.71327831558112</v>
      </c>
    </row>
    <row r="10" spans="1:8" ht="15">
      <c r="A10" s="1">
        <v>6</v>
      </c>
      <c r="B10" s="6">
        <f>ThornEx!G15</f>
        <v>115</v>
      </c>
      <c r="C10" s="6">
        <f>ThornEx!G20</f>
        <v>0</v>
      </c>
      <c r="D10" s="1">
        <f>ThornEx!G22</f>
        <v>115</v>
      </c>
      <c r="E10" s="1">
        <f>ThornEx!G25</f>
        <v>84.57434420990562</v>
      </c>
      <c r="F10" s="6">
        <f>ThornEx!G27</f>
        <v>128.72697062814916</v>
      </c>
      <c r="G10" s="6">
        <f>ThornEx!G28</f>
        <v>0</v>
      </c>
      <c r="H10">
        <v>130.04064421428876</v>
      </c>
    </row>
    <row r="11" spans="1:8" ht="15">
      <c r="A11" s="1">
        <v>7</v>
      </c>
      <c r="B11" s="6">
        <f>ThornEx!H15</f>
        <v>86</v>
      </c>
      <c r="C11" s="6">
        <f>ThornEx!H20</f>
        <v>0</v>
      </c>
      <c r="D11" s="1">
        <f>ThornEx!H22</f>
        <v>86</v>
      </c>
      <c r="E11" s="1">
        <f>ThornEx!H25</f>
        <v>44.10846495424616</v>
      </c>
      <c r="F11" s="6">
        <f>ThornEx!H27</f>
        <v>126.46587925565947</v>
      </c>
      <c r="G11" s="6">
        <f>ThornEx!H28</f>
        <v>0</v>
      </c>
      <c r="H11">
        <v>151.09792475805824</v>
      </c>
    </row>
    <row r="12" spans="1:8" ht="15">
      <c r="A12" s="1">
        <v>8</v>
      </c>
      <c r="B12" s="6">
        <f>ThornEx!I15</f>
        <v>101</v>
      </c>
      <c r="C12" s="6">
        <f>ThornEx!I20</f>
        <v>0</v>
      </c>
      <c r="D12" s="1">
        <f>ThornEx!I22</f>
        <v>101</v>
      </c>
      <c r="E12" s="1">
        <f>ThornEx!I25</f>
        <v>32.54553104847706</v>
      </c>
      <c r="F12" s="6">
        <f>ThornEx!I27</f>
        <v>112.5629339057691</v>
      </c>
      <c r="G12" s="6">
        <f>ThornEx!I28</f>
        <v>0</v>
      </c>
      <c r="H12">
        <v>131.40116488577135</v>
      </c>
    </row>
    <row r="13" spans="1:8" ht="15">
      <c r="A13" s="1">
        <v>9</v>
      </c>
      <c r="B13" s="6">
        <f>ThornEx!J15</f>
        <v>67</v>
      </c>
      <c r="C13" s="6">
        <f>ThornEx!J20</f>
        <v>0</v>
      </c>
      <c r="D13" s="1">
        <f>ThornEx!J22</f>
        <v>67</v>
      </c>
      <c r="E13" s="1">
        <f>ThornEx!J25</f>
        <v>26.354081371182655</v>
      </c>
      <c r="F13" s="6">
        <f>ThornEx!J27</f>
        <v>73.1914496772944</v>
      </c>
      <c r="G13" s="6">
        <f>ThornEx!J28</f>
        <v>0</v>
      </c>
      <c r="H13">
        <v>88.10169105110889</v>
      </c>
    </row>
    <row r="14" spans="1:8" ht="15">
      <c r="A14" s="1">
        <v>10</v>
      </c>
      <c r="B14" s="6">
        <f>ThornEx!K15</f>
        <v>44</v>
      </c>
      <c r="C14" s="6">
        <f>ThornEx!K20</f>
        <v>0</v>
      </c>
      <c r="D14" s="1">
        <f>ThornEx!K22</f>
        <v>44</v>
      </c>
      <c r="E14" s="1">
        <f>ThornEx!K25</f>
        <v>23.934465879434775</v>
      </c>
      <c r="F14" s="6">
        <f>ThornEx!K27</f>
        <v>46.419615491747884</v>
      </c>
      <c r="G14" s="6">
        <f>ThornEx!K28</f>
        <v>0</v>
      </c>
      <c r="H14">
        <v>53.630364660578785</v>
      </c>
    </row>
    <row r="15" spans="1:8" ht="15">
      <c r="A15" s="1">
        <v>11</v>
      </c>
      <c r="B15" s="6">
        <f>ThornEx!L15</f>
        <v>32</v>
      </c>
      <c r="C15" s="6">
        <f>ThornEx!L20</f>
        <v>4.302222222222223</v>
      </c>
      <c r="D15" s="1">
        <f>ThornEx!L22</f>
        <v>27.697777777777777</v>
      </c>
      <c r="E15" s="1">
        <f>ThornEx!L25</f>
        <v>25.64625807409724</v>
      </c>
      <c r="F15" s="6">
        <f>ThornEx!L27</f>
        <v>25.985985583115312</v>
      </c>
      <c r="G15" s="6">
        <f>ThornEx!L28</f>
        <v>0</v>
      </c>
      <c r="H15">
        <v>25.985985583115312</v>
      </c>
    </row>
    <row r="16" spans="1:8" ht="15">
      <c r="A16" s="1">
        <v>12</v>
      </c>
      <c r="B16" s="6">
        <f>ThornEx!M15</f>
        <v>20</v>
      </c>
      <c r="C16" s="6">
        <f>ThornEx!M20</f>
        <v>24.302222222222223</v>
      </c>
      <c r="D16" s="1">
        <f>ThornEx!M22</f>
        <v>0</v>
      </c>
      <c r="E16" s="1">
        <f>ThornEx!M25</f>
        <v>25.64625807409724</v>
      </c>
      <c r="F16" s="6">
        <f>ThornEx!M27</f>
        <v>0</v>
      </c>
      <c r="G16" s="6">
        <f>ThornEx!M28</f>
        <v>0</v>
      </c>
      <c r="H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B23" sqref="B23:M23"/>
    </sheetView>
  </sheetViews>
  <sheetFormatPr defaultColWidth="8.88671875" defaultRowHeight="15.75"/>
  <cols>
    <col min="1" max="1" width="9.77734375" style="0" bestFit="1" customWidth="1"/>
    <col min="2" max="14" width="4.77734375" style="0" customWidth="1"/>
  </cols>
  <sheetData>
    <row r="1" spans="1:14" ht="15">
      <c r="A1" s="1"/>
      <c r="C1" s="8" t="s">
        <v>0</v>
      </c>
      <c r="D1" s="1"/>
      <c r="E1" s="1"/>
      <c r="F1" s="1"/>
      <c r="G1" s="1"/>
      <c r="H1" s="1"/>
      <c r="I1" s="1"/>
      <c r="J1" s="1"/>
      <c r="K1" s="1"/>
      <c r="L1" s="59"/>
      <c r="M1" s="60"/>
      <c r="N1" s="61" t="s">
        <v>44</v>
      </c>
    </row>
    <row r="2" spans="1:14" ht="15">
      <c r="A2" s="1"/>
      <c r="B2" s="1"/>
      <c r="C2" s="1" t="s">
        <v>41</v>
      </c>
      <c r="G2" s="3"/>
      <c r="H2" s="1"/>
      <c r="I2" s="1"/>
      <c r="J2" s="1"/>
      <c r="K2" s="1"/>
      <c r="L2" s="62"/>
      <c r="M2" s="63"/>
      <c r="N2" s="64" t="s">
        <v>42</v>
      </c>
    </row>
    <row r="3" spans="1:14" ht="15">
      <c r="A3" s="1"/>
      <c r="B3" s="1"/>
      <c r="C3" s="1"/>
      <c r="D3" s="53" t="s">
        <v>37</v>
      </c>
      <c r="E3" s="53"/>
      <c r="F3" s="1"/>
      <c r="G3" s="1"/>
      <c r="H3" s="52" t="s">
        <v>38</v>
      </c>
      <c r="I3" s="52"/>
      <c r="J3" s="52"/>
      <c r="K3" s="1"/>
      <c r="L3" s="65"/>
      <c r="M3" s="66"/>
      <c r="N3" s="67" t="s">
        <v>43</v>
      </c>
    </row>
    <row r="4" spans="1:14" ht="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9" t="s">
        <v>2</v>
      </c>
      <c r="B5" s="70" t="s">
        <v>3</v>
      </c>
      <c r="C5" s="71"/>
      <c r="D5" s="71"/>
      <c r="E5" s="1" t="s">
        <v>4</v>
      </c>
      <c r="F5" s="72">
        <v>41.3</v>
      </c>
      <c r="G5" s="1" t="s">
        <v>5</v>
      </c>
      <c r="I5" s="1"/>
      <c r="J5" s="5" t="s">
        <v>30</v>
      </c>
      <c r="K5" s="73">
        <v>100</v>
      </c>
      <c r="L5" s="2" t="s">
        <v>6</v>
      </c>
      <c r="M5" s="1"/>
      <c r="N5" s="1"/>
    </row>
    <row r="6" spans="1:14" ht="15">
      <c r="A6" s="1"/>
      <c r="B6" s="3"/>
      <c r="C6" s="1"/>
      <c r="D6" s="1"/>
      <c r="E6" s="1"/>
      <c r="F6" s="12">
        <f>(F5/360)*2*PI()</f>
        <v>0.720820981073658</v>
      </c>
      <c r="G6" s="1" t="s">
        <v>34</v>
      </c>
      <c r="H6" s="1"/>
      <c r="I6" s="1"/>
      <c r="J6" s="4"/>
      <c r="K6" s="1"/>
      <c r="L6" s="1"/>
      <c r="M6" s="1"/>
      <c r="N6" s="1"/>
    </row>
    <row r="7" spans="1:13" ht="15">
      <c r="A7" s="13" t="s">
        <v>32</v>
      </c>
      <c r="B7" s="14">
        <v>-21.3</v>
      </c>
      <c r="C7" s="14">
        <v>-13.3</v>
      </c>
      <c r="D7" s="14">
        <v>-2</v>
      </c>
      <c r="E7" s="14">
        <v>9.8</v>
      </c>
      <c r="F7" s="14">
        <v>18.9</v>
      </c>
      <c r="G7" s="14">
        <v>23.3</v>
      </c>
      <c r="H7" s="14">
        <v>21.3</v>
      </c>
      <c r="I7" s="14">
        <v>13.7</v>
      </c>
      <c r="J7" s="14">
        <v>3</v>
      </c>
      <c r="K7" s="14">
        <v>-9</v>
      </c>
      <c r="L7" s="14">
        <v>-18.6</v>
      </c>
      <c r="M7" s="15">
        <v>-23.3</v>
      </c>
    </row>
    <row r="8" spans="1:13" ht="15">
      <c r="A8" s="16" t="s">
        <v>33</v>
      </c>
      <c r="B8" s="17">
        <f aca="true" t="shared" si="0" ref="B8:M8">(B7/360)*2*PI()</f>
        <v>-0.37175513067479216</v>
      </c>
      <c r="C8" s="17">
        <f t="shared" si="0"/>
        <v>-0.23212879051524585</v>
      </c>
      <c r="D8" s="17">
        <f t="shared" si="0"/>
        <v>-0.03490658503988659</v>
      </c>
      <c r="E8" s="17">
        <f t="shared" si="0"/>
        <v>0.1710422666954443</v>
      </c>
      <c r="F8" s="17">
        <f t="shared" si="0"/>
        <v>0.32986722862692824</v>
      </c>
      <c r="G8" s="17">
        <f t="shared" si="0"/>
        <v>0.4066617157146788</v>
      </c>
      <c r="H8" s="17">
        <f t="shared" si="0"/>
        <v>0.37175513067479216</v>
      </c>
      <c r="I8" s="17">
        <f t="shared" si="0"/>
        <v>0.23911010752322312</v>
      </c>
      <c r="J8" s="17">
        <f t="shared" si="0"/>
        <v>0.05235987755982988</v>
      </c>
      <c r="K8" s="17">
        <f t="shared" si="0"/>
        <v>-0.15707963267948966</v>
      </c>
      <c r="L8" s="17">
        <f t="shared" si="0"/>
        <v>-0.3246312408709453</v>
      </c>
      <c r="M8" s="18">
        <f t="shared" si="0"/>
        <v>-0.4066617157146788</v>
      </c>
    </row>
    <row r="9" spans="1:13" ht="15">
      <c r="A9" s="19" t="s">
        <v>39</v>
      </c>
      <c r="B9" s="20">
        <f>2*ACOS(-TAN(B8)*TAN($F$6))/0.2618</f>
        <v>9.329237617382152</v>
      </c>
      <c r="C9" s="20">
        <f aca="true" t="shared" si="1" ref="C9:M9">2*ACOS(-TAN(C8)*TAN($F$6))/0.2618</f>
        <v>10.401834561406814</v>
      </c>
      <c r="D9" s="20">
        <f t="shared" si="1"/>
        <v>11.765568119135677</v>
      </c>
      <c r="E9" s="20">
        <f t="shared" si="1"/>
        <v>13.163726781496704</v>
      </c>
      <c r="F9" s="20">
        <f t="shared" si="1"/>
        <v>14.333935252228011</v>
      </c>
      <c r="G9" s="20">
        <f>2*ACOS(-TAN(G8)*TAN($F$6))/0.2618</f>
        <v>14.964176263709565</v>
      </c>
      <c r="H9" s="20">
        <f t="shared" si="1"/>
        <v>14.670706260309165</v>
      </c>
      <c r="I9" s="20">
        <f t="shared" si="1"/>
        <v>13.648805061306879</v>
      </c>
      <c r="J9" s="20">
        <f t="shared" si="1"/>
        <v>12.351825575887851</v>
      </c>
      <c r="K9" s="20">
        <f t="shared" si="1"/>
        <v>10.93353125689892</v>
      </c>
      <c r="L9" s="20">
        <f t="shared" si="1"/>
        <v>9.707067105840157</v>
      </c>
      <c r="M9" s="21">
        <f t="shared" si="1"/>
        <v>9.035767613981752</v>
      </c>
    </row>
    <row r="10" spans="1:8" ht="15.75" thickBot="1">
      <c r="A10" s="68" t="s">
        <v>40</v>
      </c>
      <c r="B10" s="69"/>
      <c r="C10" s="69"/>
      <c r="D10" s="69"/>
      <c r="E10" s="69"/>
      <c r="F10" s="69"/>
      <c r="G10" s="69"/>
      <c r="H10" s="69"/>
    </row>
    <row r="11" spans="1:14" ht="15">
      <c r="A11" s="22"/>
      <c r="B11" s="44"/>
      <c r="C11" s="44"/>
      <c r="D11" s="44"/>
      <c r="E11" s="44"/>
      <c r="F11" s="44"/>
      <c r="G11" s="45" t="s">
        <v>36</v>
      </c>
      <c r="H11" s="44"/>
      <c r="I11" s="44"/>
      <c r="J11" s="44"/>
      <c r="K11" s="44"/>
      <c r="L11" s="44"/>
      <c r="M11" s="44"/>
      <c r="N11" s="46"/>
    </row>
    <row r="12" spans="1:14" ht="15">
      <c r="A12" s="47"/>
      <c r="B12" s="41"/>
      <c r="C12" s="41"/>
      <c r="D12" s="48" t="s">
        <v>1</v>
      </c>
      <c r="E12" s="41"/>
      <c r="F12" s="41"/>
      <c r="G12" s="41"/>
      <c r="H12" s="41"/>
      <c r="I12" s="41"/>
      <c r="J12" s="41"/>
      <c r="K12" s="41"/>
      <c r="L12" s="41"/>
      <c r="M12" s="41"/>
      <c r="N12" s="49"/>
    </row>
    <row r="13" spans="1:14" ht="15">
      <c r="A13" s="50" t="s">
        <v>35</v>
      </c>
      <c r="B13" s="40" t="s">
        <v>7</v>
      </c>
      <c r="C13" s="40" t="s">
        <v>8</v>
      </c>
      <c r="D13" s="40" t="s">
        <v>9</v>
      </c>
      <c r="E13" s="40" t="s">
        <v>10</v>
      </c>
      <c r="F13" s="40" t="s">
        <v>9</v>
      </c>
      <c r="G13" s="40" t="s">
        <v>7</v>
      </c>
      <c r="H13" s="40" t="s">
        <v>7</v>
      </c>
      <c r="I13" s="40" t="s">
        <v>10</v>
      </c>
      <c r="J13" s="40" t="s">
        <v>11</v>
      </c>
      <c r="K13" s="40" t="s">
        <v>12</v>
      </c>
      <c r="L13" s="40" t="s">
        <v>13</v>
      </c>
      <c r="M13" s="40" t="s">
        <v>14</v>
      </c>
      <c r="N13" s="51" t="s">
        <v>15</v>
      </c>
    </row>
    <row r="14" spans="1:14" ht="15">
      <c r="A14" s="23" t="s">
        <v>16</v>
      </c>
      <c r="B14" s="24" t="s">
        <v>16</v>
      </c>
      <c r="C14" s="24" t="s">
        <v>16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  <c r="J14" s="24" t="s">
        <v>16</v>
      </c>
      <c r="K14" s="24" t="s">
        <v>16</v>
      </c>
      <c r="L14" s="24" t="s">
        <v>16</v>
      </c>
      <c r="M14" s="24" t="s">
        <v>16</v>
      </c>
      <c r="N14" s="25" t="s">
        <v>16</v>
      </c>
    </row>
    <row r="15" spans="1:14" ht="15">
      <c r="A15" s="26" t="s">
        <v>17</v>
      </c>
      <c r="B15" s="74">
        <v>21</v>
      </c>
      <c r="C15" s="74">
        <v>24</v>
      </c>
      <c r="D15" s="74">
        <v>37</v>
      </c>
      <c r="E15" s="74">
        <v>65</v>
      </c>
      <c r="F15" s="74">
        <v>88</v>
      </c>
      <c r="G15" s="74">
        <v>115</v>
      </c>
      <c r="H15" s="74">
        <v>86</v>
      </c>
      <c r="I15" s="74">
        <v>101</v>
      </c>
      <c r="J15" s="74">
        <v>67</v>
      </c>
      <c r="K15" s="74">
        <v>44</v>
      </c>
      <c r="L15" s="74">
        <v>32</v>
      </c>
      <c r="M15" s="74">
        <v>20</v>
      </c>
      <c r="N15" s="54">
        <f>SUM(B15:M15)</f>
        <v>700</v>
      </c>
    </row>
    <row r="16" spans="1:14" ht="15">
      <c r="A16" s="28" t="s">
        <v>18</v>
      </c>
      <c r="B16" s="75">
        <v>-5.4</v>
      </c>
      <c r="C16" s="75">
        <v>-3.1</v>
      </c>
      <c r="D16" s="75">
        <v>2.7</v>
      </c>
      <c r="E16" s="75">
        <v>10.9</v>
      </c>
      <c r="F16" s="75">
        <v>17.2</v>
      </c>
      <c r="G16" s="75">
        <v>22.8</v>
      </c>
      <c r="H16" s="75">
        <v>25.8</v>
      </c>
      <c r="I16" s="75">
        <v>24.6</v>
      </c>
      <c r="J16" s="75">
        <v>19.4</v>
      </c>
      <c r="K16" s="75">
        <v>13.2</v>
      </c>
      <c r="L16" s="75">
        <v>3.8</v>
      </c>
      <c r="M16" s="75">
        <v>-2.1</v>
      </c>
      <c r="N16" s="29"/>
    </row>
    <row r="17" spans="1:14" ht="15">
      <c r="A17" s="30" t="s">
        <v>8</v>
      </c>
      <c r="B17" s="31">
        <f>IF(B16&gt;6,1,IF(B16&lt;0,0,(1/6)*B16))</f>
        <v>0</v>
      </c>
      <c r="C17" s="31">
        <f aca="true" t="shared" si="2" ref="C17:M17">IF(C16&gt;6,1,IF(C16&lt;0,0,(1/6)*C16))</f>
        <v>0</v>
      </c>
      <c r="D17" s="31">
        <f t="shared" si="2"/>
        <v>0.45</v>
      </c>
      <c r="E17" s="31">
        <f t="shared" si="2"/>
        <v>1</v>
      </c>
      <c r="F17" s="31">
        <f t="shared" si="2"/>
        <v>1</v>
      </c>
      <c r="G17" s="31">
        <f t="shared" si="2"/>
        <v>1</v>
      </c>
      <c r="H17" s="31">
        <f t="shared" si="2"/>
        <v>1</v>
      </c>
      <c r="I17" s="31">
        <f t="shared" si="2"/>
        <v>1</v>
      </c>
      <c r="J17" s="31">
        <f t="shared" si="2"/>
        <v>1</v>
      </c>
      <c r="K17" s="31">
        <f t="shared" si="2"/>
        <v>1</v>
      </c>
      <c r="L17" s="31">
        <f t="shared" si="2"/>
        <v>0.6333333333333333</v>
      </c>
      <c r="M17" s="31">
        <f t="shared" si="2"/>
        <v>0</v>
      </c>
      <c r="N17" s="32"/>
    </row>
    <row r="18" spans="1:14" ht="15">
      <c r="A18" s="26" t="s">
        <v>19</v>
      </c>
      <c r="B18" s="33">
        <f aca="true" t="shared" si="3" ref="B18:M18">B17*B15</f>
        <v>0</v>
      </c>
      <c r="C18" s="33">
        <f t="shared" si="3"/>
        <v>0</v>
      </c>
      <c r="D18" s="33">
        <f t="shared" si="3"/>
        <v>16.650000000000002</v>
      </c>
      <c r="E18" s="33">
        <f t="shared" si="3"/>
        <v>65</v>
      </c>
      <c r="F18" s="33">
        <f t="shared" si="3"/>
        <v>88</v>
      </c>
      <c r="G18" s="33">
        <f t="shared" si="3"/>
        <v>115</v>
      </c>
      <c r="H18" s="33">
        <f t="shared" si="3"/>
        <v>86</v>
      </c>
      <c r="I18" s="33">
        <f t="shared" si="3"/>
        <v>101</v>
      </c>
      <c r="J18" s="33">
        <f t="shared" si="3"/>
        <v>67</v>
      </c>
      <c r="K18" s="33">
        <f t="shared" si="3"/>
        <v>44</v>
      </c>
      <c r="L18" s="33">
        <f t="shared" si="3"/>
        <v>20.266666666666666</v>
      </c>
      <c r="M18" s="33">
        <f t="shared" si="3"/>
        <v>0</v>
      </c>
      <c r="N18" s="27">
        <f>SUM(B18:M18)</f>
        <v>602.9166666666666</v>
      </c>
    </row>
    <row r="19" spans="1:14" ht="15">
      <c r="A19" s="26" t="s">
        <v>20</v>
      </c>
      <c r="B19" s="33">
        <f>(1-B17)*B15</f>
        <v>21</v>
      </c>
      <c r="C19" s="33">
        <f aca="true" t="shared" si="4" ref="C19:M19">(1-C17)*C15</f>
        <v>24</v>
      </c>
      <c r="D19" s="33">
        <f t="shared" si="4"/>
        <v>20.35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11.733333333333334</v>
      </c>
      <c r="M19" s="33">
        <f t="shared" si="4"/>
        <v>20</v>
      </c>
      <c r="N19" s="27">
        <f>SUM(B19:M19)</f>
        <v>97.08333333333333</v>
      </c>
    </row>
    <row r="20" spans="1:14" ht="15">
      <c r="A20" s="34" t="s">
        <v>21</v>
      </c>
      <c r="B20" s="55">
        <f>(1-B17)^2*B15+(1-B17)*M20</f>
        <v>45.30222222222223</v>
      </c>
      <c r="C20" s="55">
        <f aca="true" t="shared" si="5" ref="C20:M20">(1-C17)^2*C15+(1-C17)*B20</f>
        <v>69.30222222222223</v>
      </c>
      <c r="D20" s="55">
        <f t="shared" si="5"/>
        <v>49.30872222222223</v>
      </c>
      <c r="E20" s="55">
        <f t="shared" si="5"/>
        <v>0</v>
      </c>
      <c r="F20" s="55">
        <f t="shared" si="5"/>
        <v>0</v>
      </c>
      <c r="G20" s="55">
        <f t="shared" si="5"/>
        <v>0</v>
      </c>
      <c r="H20" s="55">
        <f t="shared" si="5"/>
        <v>0</v>
      </c>
      <c r="I20" s="55">
        <f t="shared" si="5"/>
        <v>0</v>
      </c>
      <c r="J20" s="55">
        <f t="shared" si="5"/>
        <v>0</v>
      </c>
      <c r="K20" s="55">
        <f t="shared" si="5"/>
        <v>0</v>
      </c>
      <c r="L20" s="55">
        <f t="shared" si="5"/>
        <v>4.302222222222223</v>
      </c>
      <c r="M20" s="55">
        <f t="shared" si="5"/>
        <v>24.302222222222223</v>
      </c>
      <c r="N20" s="32"/>
    </row>
    <row r="21" spans="1:14" ht="15">
      <c r="A21" s="35" t="s">
        <v>22</v>
      </c>
      <c r="B21" s="33">
        <f>B17*(M20+B19)</f>
        <v>0</v>
      </c>
      <c r="C21" s="33">
        <f aca="true" t="shared" si="6" ref="C21:M21">C17*(B20+C19)</f>
        <v>0</v>
      </c>
      <c r="D21" s="33">
        <f t="shared" si="6"/>
        <v>40.343500000000006</v>
      </c>
      <c r="E21" s="33">
        <f t="shared" si="6"/>
        <v>49.30872222222223</v>
      </c>
      <c r="F21" s="33">
        <f t="shared" si="6"/>
        <v>0</v>
      </c>
      <c r="G21" s="33">
        <f t="shared" si="6"/>
        <v>0</v>
      </c>
      <c r="H21" s="33">
        <f t="shared" si="6"/>
        <v>0</v>
      </c>
      <c r="I21" s="33">
        <f t="shared" si="6"/>
        <v>0</v>
      </c>
      <c r="J21" s="33">
        <f t="shared" si="6"/>
        <v>0</v>
      </c>
      <c r="K21" s="33">
        <f t="shared" si="6"/>
        <v>0</v>
      </c>
      <c r="L21" s="33">
        <f t="shared" si="6"/>
        <v>7.431111111111111</v>
      </c>
      <c r="M21" s="33">
        <f t="shared" si="6"/>
        <v>0</v>
      </c>
      <c r="N21" s="27">
        <f>SUM(B21:M21)</f>
        <v>97.08333333333334</v>
      </c>
    </row>
    <row r="22" spans="1:14" ht="15">
      <c r="A22" s="34" t="s">
        <v>23</v>
      </c>
      <c r="B22" s="55">
        <f aca="true" t="shared" si="7" ref="B22:M22">B21+B18</f>
        <v>0</v>
      </c>
      <c r="C22" s="55">
        <f t="shared" si="7"/>
        <v>0</v>
      </c>
      <c r="D22" s="55">
        <f t="shared" si="7"/>
        <v>56.99350000000001</v>
      </c>
      <c r="E22" s="55">
        <f t="shared" si="7"/>
        <v>114.30872222222223</v>
      </c>
      <c r="F22" s="55">
        <f t="shared" si="7"/>
        <v>88</v>
      </c>
      <c r="G22" s="55">
        <f t="shared" si="7"/>
        <v>115</v>
      </c>
      <c r="H22" s="55">
        <f t="shared" si="7"/>
        <v>86</v>
      </c>
      <c r="I22" s="55">
        <f t="shared" si="7"/>
        <v>101</v>
      </c>
      <c r="J22" s="55">
        <f t="shared" si="7"/>
        <v>67</v>
      </c>
      <c r="K22" s="55">
        <f t="shared" si="7"/>
        <v>44</v>
      </c>
      <c r="L22" s="55">
        <f t="shared" si="7"/>
        <v>27.697777777777777</v>
      </c>
      <c r="M22" s="55">
        <f t="shared" si="7"/>
        <v>0</v>
      </c>
      <c r="N22" s="54">
        <f>SUM(B22:M22)</f>
        <v>700</v>
      </c>
    </row>
    <row r="23" spans="1:14" ht="15">
      <c r="A23" s="34" t="s">
        <v>24</v>
      </c>
      <c r="B23" s="36">
        <f>IF(B16&gt;0,924*B9*0.611*EXP(17.3*B16/(B16+237.3))/(B16+273.2),0)</f>
        <v>0</v>
      </c>
      <c r="C23" s="36">
        <f aca="true" t="shared" si="8" ref="C23:M23">IF(C16&gt;0,924*C9*0.611*EXP(17.3*C16/(C16+237.3))/(C16+273.2),0)</f>
        <v>0</v>
      </c>
      <c r="D23" s="36">
        <f t="shared" si="8"/>
        <v>29.248186756941784</v>
      </c>
      <c r="E23" s="36">
        <f t="shared" si="8"/>
        <v>55.921154334119784</v>
      </c>
      <c r="F23" s="36">
        <f t="shared" si="8"/>
        <v>89.71327831558112</v>
      </c>
      <c r="G23" s="36">
        <f t="shared" si="8"/>
        <v>130.04064421428876</v>
      </c>
      <c r="H23" s="36">
        <f t="shared" si="8"/>
        <v>151.09792475805824</v>
      </c>
      <c r="I23" s="36">
        <f t="shared" si="8"/>
        <v>131.40116488577135</v>
      </c>
      <c r="J23" s="36">
        <f t="shared" si="8"/>
        <v>88.10169105110889</v>
      </c>
      <c r="K23" s="36">
        <f t="shared" si="8"/>
        <v>53.630364660578785</v>
      </c>
      <c r="L23" s="36">
        <f t="shared" si="8"/>
        <v>25.985985583115312</v>
      </c>
      <c r="M23" s="36">
        <f t="shared" si="8"/>
        <v>0</v>
      </c>
      <c r="N23" s="27">
        <f>SUM(B23:M23)</f>
        <v>755.140394559564</v>
      </c>
    </row>
    <row r="24" spans="1:14" ht="15">
      <c r="A24" s="37" t="s">
        <v>25</v>
      </c>
      <c r="B24" s="36">
        <f aca="true" t="shared" si="9" ref="B24:M24">B22-B23</f>
        <v>0</v>
      </c>
      <c r="C24" s="36">
        <f t="shared" si="9"/>
        <v>0</v>
      </c>
      <c r="D24" s="36">
        <f t="shared" si="9"/>
        <v>27.745313243058227</v>
      </c>
      <c r="E24" s="36">
        <f t="shared" si="9"/>
        <v>58.387567888102446</v>
      </c>
      <c r="F24" s="36">
        <f t="shared" si="9"/>
        <v>-1.713278315581121</v>
      </c>
      <c r="G24" s="36">
        <f t="shared" si="9"/>
        <v>-15.040644214288761</v>
      </c>
      <c r="H24" s="36">
        <f t="shared" si="9"/>
        <v>-65.09792475805824</v>
      </c>
      <c r="I24" s="36">
        <f t="shared" si="9"/>
        <v>-30.40116488577135</v>
      </c>
      <c r="J24" s="36">
        <f t="shared" si="9"/>
        <v>-21.101691051108887</v>
      </c>
      <c r="K24" s="36">
        <f t="shared" si="9"/>
        <v>-9.630364660578785</v>
      </c>
      <c r="L24" s="36">
        <f t="shared" si="9"/>
        <v>1.7117921946624648</v>
      </c>
      <c r="M24" s="36">
        <f t="shared" si="9"/>
        <v>0</v>
      </c>
      <c r="N24" s="38"/>
    </row>
    <row r="25" spans="1:14" ht="15">
      <c r="A25" s="34" t="s">
        <v>26</v>
      </c>
      <c r="B25" s="56">
        <f>IF(B22&gt;B23,MIN((B24+M25),$K$5),M25*EXP(-(B23-B22)/$K$5))</f>
        <v>25.64625807409724</v>
      </c>
      <c r="C25" s="56">
        <f aca="true" t="shared" si="10" ref="C25:M25">IF(C22&gt;C23,MIN((C24+B25),$K$5),B25*EXP(-(C23-C22)/$K$5))</f>
        <v>25.64625807409724</v>
      </c>
      <c r="D25" s="56">
        <f t="shared" si="10"/>
        <v>53.39157131715547</v>
      </c>
      <c r="E25" s="56">
        <f t="shared" si="10"/>
        <v>100</v>
      </c>
      <c r="F25" s="56">
        <f t="shared" si="10"/>
        <v>98.30131483805476</v>
      </c>
      <c r="G25" s="56">
        <f t="shared" si="10"/>
        <v>84.57434420990562</v>
      </c>
      <c r="H25" s="56">
        <f t="shared" si="10"/>
        <v>44.10846495424616</v>
      </c>
      <c r="I25" s="56">
        <f t="shared" si="10"/>
        <v>32.54553104847706</v>
      </c>
      <c r="J25" s="56">
        <f t="shared" si="10"/>
        <v>26.354081371182655</v>
      </c>
      <c r="K25" s="56">
        <f t="shared" si="10"/>
        <v>23.934465879434775</v>
      </c>
      <c r="L25" s="56">
        <f t="shared" si="10"/>
        <v>25.64625807409724</v>
      </c>
      <c r="M25" s="56">
        <f t="shared" si="10"/>
        <v>25.64625807409724</v>
      </c>
      <c r="N25" s="38"/>
    </row>
    <row r="26" spans="1:14" ht="15">
      <c r="A26" s="37" t="s">
        <v>27</v>
      </c>
      <c r="B26" s="36">
        <f>B25-M25</f>
        <v>0</v>
      </c>
      <c r="C26" s="36">
        <f aca="true" t="shared" si="11" ref="C26:M26">C25-B25</f>
        <v>0</v>
      </c>
      <c r="D26" s="36">
        <f t="shared" si="11"/>
        <v>27.745313243058227</v>
      </c>
      <c r="E26" s="36">
        <f t="shared" si="11"/>
        <v>46.60842868284453</v>
      </c>
      <c r="F26" s="36">
        <f t="shared" si="11"/>
        <v>-1.6986851619452352</v>
      </c>
      <c r="G26" s="36">
        <f t="shared" si="11"/>
        <v>-13.726970628149147</v>
      </c>
      <c r="H26" s="36">
        <f t="shared" si="11"/>
        <v>-40.46587925565946</v>
      </c>
      <c r="I26" s="36">
        <f t="shared" si="11"/>
        <v>-11.5629339057691</v>
      </c>
      <c r="J26" s="36">
        <f t="shared" si="11"/>
        <v>-6.191449677294404</v>
      </c>
      <c r="K26" s="36">
        <f t="shared" si="11"/>
        <v>-2.41961549174788</v>
      </c>
      <c r="L26" s="36">
        <f t="shared" si="11"/>
        <v>1.7117921946624648</v>
      </c>
      <c r="M26" s="36">
        <f t="shared" si="11"/>
        <v>0</v>
      </c>
      <c r="N26" s="38"/>
    </row>
    <row r="27" spans="1:14" ht="15">
      <c r="A27" s="34" t="s">
        <v>28</v>
      </c>
      <c r="B27" s="56">
        <f>IF(B22&gt;B23,B23,B22+M25-B25)</f>
        <v>0</v>
      </c>
      <c r="C27" s="56">
        <f aca="true" t="shared" si="12" ref="C27:M27">IF(C22&gt;C23,C23,C22+B25-C25)</f>
        <v>0</v>
      </c>
      <c r="D27" s="56">
        <f t="shared" si="12"/>
        <v>29.248186756941784</v>
      </c>
      <c r="E27" s="56">
        <f t="shared" si="12"/>
        <v>55.921154334119784</v>
      </c>
      <c r="F27" s="56">
        <f t="shared" si="12"/>
        <v>89.69868516194524</v>
      </c>
      <c r="G27" s="56">
        <f t="shared" si="12"/>
        <v>128.72697062814916</v>
      </c>
      <c r="H27" s="56">
        <f t="shared" si="12"/>
        <v>126.46587925565947</v>
      </c>
      <c r="I27" s="56">
        <f t="shared" si="12"/>
        <v>112.5629339057691</v>
      </c>
      <c r="J27" s="56">
        <f t="shared" si="12"/>
        <v>73.1914496772944</v>
      </c>
      <c r="K27" s="56">
        <f t="shared" si="12"/>
        <v>46.419615491747884</v>
      </c>
      <c r="L27" s="56">
        <f t="shared" si="12"/>
        <v>25.985985583115312</v>
      </c>
      <c r="M27" s="56">
        <f t="shared" si="12"/>
        <v>0</v>
      </c>
      <c r="N27" s="54">
        <f>SUM(B27:M27)</f>
        <v>688.2208607947421</v>
      </c>
    </row>
    <row r="28" spans="1:14" ht="15.75" thickBot="1">
      <c r="A28" s="39" t="s">
        <v>29</v>
      </c>
      <c r="B28" s="57">
        <f aca="true" t="shared" si="13" ref="B28:M28">B22-B26-B27</f>
        <v>0</v>
      </c>
      <c r="C28" s="57">
        <f t="shared" si="13"/>
        <v>0</v>
      </c>
      <c r="D28" s="57">
        <f t="shared" si="13"/>
        <v>0</v>
      </c>
      <c r="E28" s="57">
        <f t="shared" si="13"/>
        <v>11.779139205257913</v>
      </c>
      <c r="F28" s="57">
        <f t="shared" si="13"/>
        <v>0</v>
      </c>
      <c r="G28" s="57">
        <f t="shared" si="13"/>
        <v>0</v>
      </c>
      <c r="H28" s="57">
        <f t="shared" si="13"/>
        <v>0</v>
      </c>
      <c r="I28" s="57">
        <f t="shared" si="13"/>
        <v>0</v>
      </c>
      <c r="J28" s="57">
        <f t="shared" si="13"/>
        <v>0</v>
      </c>
      <c r="K28" s="57">
        <f t="shared" si="13"/>
        <v>0</v>
      </c>
      <c r="L28" s="57">
        <f t="shared" si="13"/>
        <v>0</v>
      </c>
      <c r="M28" s="57">
        <f t="shared" si="13"/>
        <v>0</v>
      </c>
      <c r="N28" s="58">
        <f>SUM(B28:M28)</f>
        <v>11.779139205257913</v>
      </c>
    </row>
    <row r="29" spans="1:14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4" ht="15">
      <c r="A30" s="41"/>
      <c r="B30" s="42"/>
      <c r="C30" s="41"/>
      <c r="D30" s="41"/>
      <c r="E30" s="41"/>
      <c r="F30" s="41"/>
      <c r="G30" s="41"/>
      <c r="H30" s="43"/>
      <c r="I30" s="41"/>
      <c r="J30" s="41"/>
      <c r="K30" s="41"/>
      <c r="L30" s="41"/>
      <c r="M30" s="41"/>
      <c r="N30" s="41"/>
    </row>
    <row r="31" spans="1:14" ht="15">
      <c r="A31" s="41"/>
      <c r="B31" s="41"/>
      <c r="C31" s="41"/>
      <c r="D31" s="41"/>
      <c r="E31" s="41"/>
      <c r="F31" s="41"/>
      <c r="G31" s="41"/>
      <c r="H31" s="43"/>
      <c r="I31" s="41"/>
      <c r="J31" s="41"/>
      <c r="K31" s="41"/>
      <c r="L31" s="41"/>
      <c r="M31" s="41"/>
      <c r="N31" s="41"/>
    </row>
    <row r="32" spans="1:14" ht="15">
      <c r="A32" s="41"/>
      <c r="B32" s="41"/>
      <c r="C32" s="41"/>
      <c r="D32" s="41"/>
      <c r="E32" s="41"/>
      <c r="F32" s="41"/>
      <c r="G32" s="41"/>
      <c r="H32" s="43"/>
      <c r="I32" s="41"/>
      <c r="J32" s="41"/>
      <c r="K32" s="41"/>
      <c r="L32" s="41"/>
      <c r="M32" s="41"/>
      <c r="N32" s="41"/>
    </row>
    <row r="33" spans="2:8" ht="15">
      <c r="B33" s="41"/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spans="2:8" ht="15">
      <c r="B38" s="1"/>
      <c r="C38" s="1"/>
      <c r="D38" s="1"/>
      <c r="E38" s="1"/>
      <c r="F38" s="1"/>
      <c r="G38" s="1"/>
      <c r="H38" s="1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Lawrence Dingman</dc:creator>
  <cp:keywords/>
  <dc:description/>
  <cp:lastModifiedBy>Sotiris</cp:lastModifiedBy>
  <cp:lastPrinted>2001-04-15T12:51:48Z</cp:lastPrinted>
  <dcterms:created xsi:type="dcterms:W3CDTF">2019-03-15T10:51:43Z</dcterms:created>
  <dcterms:modified xsi:type="dcterms:W3CDTF">2023-12-21T10:57:38Z</dcterms:modified>
  <cp:category/>
  <cp:version/>
  <cp:contentType/>
  <cp:contentStatus/>
</cp:coreProperties>
</file>