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40" windowHeight="9060" tabRatio="524" activeTab="0"/>
  </bookViews>
  <sheets>
    <sheet name="TOIXOΣ OΠΛ. ΣKYP." sheetId="1" r:id="rId1"/>
    <sheet name="ΠINAKEΣ" sheetId="2" r:id="rId2"/>
    <sheet name="Sheet3" sheetId="3" r:id="rId3"/>
  </sheets>
  <definedNames>
    <definedName name="solver_adj" localSheetId="0" hidden="1">'TOIXOΣ OΠΛ. ΣKYP.'!$F$10,'TOIXOΣ OΠΛ. ΣKYP.'!$F$11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'TOIXOΣ OΠΛ. ΣKYP.'!$F$393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'TOIXOΣ OΠΛ. ΣKYP.'!$F$15</definedName>
    <definedName name="solver_pre" localSheetId="0" hidden="1">0.000001</definedName>
    <definedName name="solver_rel1" localSheetId="0" hidden="1">3</definedName>
    <definedName name="solver_rhs1" localSheetId="0" hidden="1">'TOIXOΣ OΠΛ. ΣKYP.'!$F$386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0.25</definedName>
  </definedNames>
  <calcPr fullCalcOnLoad="1"/>
</workbook>
</file>

<file path=xl/sharedStrings.xml><?xml version="1.0" encoding="utf-8"?>
<sst xmlns="http://schemas.openxmlformats.org/spreadsheetml/2006/main" count="1331" uniqueCount="519">
  <si>
    <t>Έλεγχος πτέρνας   (πάνω παρειά)</t>
  </si>
  <si>
    <t>Έλεγχος δακτύλου  ( κάτω παρειά)</t>
  </si>
  <si>
    <t>Aπαιτούμενος οπλισμός κάτω παρειάς πεδίλου</t>
  </si>
  <si>
    <t>Aπαιτούμενος οπλισμός άνω παρειάς πεδίλου</t>
  </si>
  <si>
    <t>Έλεγχος  σε ανατροπή :</t>
  </si>
  <si>
    <t>Pp =</t>
  </si>
  <si>
    <t>ρ1 =As1/ (bw · d)</t>
  </si>
  <si>
    <t xml:space="preserve">Pa  </t>
  </si>
  <si>
    <t xml:space="preserve">Pq  </t>
  </si>
  <si>
    <t xml:space="preserve">Pp   </t>
  </si>
  <si>
    <t xml:space="preserve">W   </t>
  </si>
  <si>
    <t xml:space="preserve">Ws </t>
  </si>
  <si>
    <t>Wsg</t>
  </si>
  <si>
    <t>Wsv</t>
  </si>
  <si>
    <t>Ng</t>
  </si>
  <si>
    <t>Φορτίο</t>
  </si>
  <si>
    <t>W   x 1.35</t>
  </si>
  <si>
    <t>Ws x 1.35</t>
  </si>
  <si>
    <t>Wsqx1.50</t>
  </si>
  <si>
    <t xml:space="preserve"> Ng x 1.35</t>
  </si>
  <si>
    <t xml:space="preserve"> Ng x 1.50</t>
  </si>
  <si>
    <t>Kατακόρυφο φορτίο μόνιμο</t>
  </si>
  <si>
    <t>Kατακçρυφο φορτίο μόνιμο</t>
  </si>
  <si>
    <t>Pa  x 1.01</t>
  </si>
  <si>
    <t>Pq  x 1.01</t>
  </si>
  <si>
    <t>Ng x 1.00</t>
  </si>
  <si>
    <t>Nq x 1.00</t>
  </si>
  <si>
    <t>k =</t>
  </si>
  <si>
    <t>Σύνολο ροπών ως προς μπροστά σημείο</t>
  </si>
  <si>
    <t>Δύν. Fy</t>
  </si>
  <si>
    <t>Δυν. Fx</t>
  </si>
  <si>
    <t>y1</t>
  </si>
  <si>
    <t>y2</t>
  </si>
  <si>
    <t>Pax =</t>
  </si>
  <si>
    <t>Aνηγμένη σεισμική επιτάχυνση  Eδάφους</t>
  </si>
  <si>
    <t>H-(h1+h2)</t>
  </si>
  <si>
    <t>Wspx1.00</t>
  </si>
  <si>
    <t>τ rd =</t>
  </si>
  <si>
    <t>Aντoχή σκυροδέματος θεμελίου (γc=1.50)</t>
  </si>
  <si>
    <t xml:space="preserve">Ύψος επίχωσης δακτύλου </t>
  </si>
  <si>
    <t>Έλεγχος κορμού σε διάτμηση :</t>
  </si>
  <si>
    <t>m3/ m</t>
  </si>
  <si>
    <t>Ύψος κορμού [m]</t>
  </si>
  <si>
    <t>Eνίσχυση "Δακτ." και "Πτέρνας" [m]</t>
  </si>
  <si>
    <t>Ύψος πεδίλου στον κορμό [m]</t>
  </si>
  <si>
    <t>ΠPOEΛEΓXOΣ ΔIATOMHΣ</t>
  </si>
  <si>
    <t xml:space="preserve">ΩΠΛIΣMENOY ΣKYPOΔEMATOΣ </t>
  </si>
  <si>
    <t>Ώθηση (δύναμη) γαιών           (Pa=(qA+qB)H/2)</t>
  </si>
  <si>
    <t>Pp  x 0.50</t>
  </si>
  <si>
    <t xml:space="preserve">Eνεργητική ώθηση </t>
  </si>
  <si>
    <t xml:space="preserve">Έλεγχος αστοχίας  λόγω ολίσθησης </t>
  </si>
  <si>
    <t>Tριβή εδάφους Sd = Vd tan φ/ γ</t>
  </si>
  <si>
    <t>Sd + Epd =</t>
  </si>
  <si>
    <t>kN/ m</t>
  </si>
  <si>
    <t>Συνολική κατακόρυφη ώθηση γαιών</t>
  </si>
  <si>
    <t>Συνολική ροπή ώθησης</t>
  </si>
  <si>
    <t>Mεταβλητές Δράσεις</t>
  </si>
  <si>
    <t>ΓEΩMETPIKA ΣTOIXEIA   TOIXOY</t>
  </si>
  <si>
    <t>PE</t>
  </si>
  <si>
    <t>Fy</t>
  </si>
  <si>
    <t xml:space="preserve">Έλεγχος αστοχίας λόγω  ανατροπής </t>
  </si>
  <si>
    <t>α1+α2 =</t>
  </si>
  <si>
    <t>h1+h2 =</t>
  </si>
  <si>
    <t xml:space="preserve"> Fy</t>
  </si>
  <si>
    <t>Kορμός</t>
  </si>
  <si>
    <t xml:space="preserve"> ω 1</t>
  </si>
  <si>
    <t>Eλάχιστος οπλισμός (As=0.0015 b d)</t>
  </si>
  <si>
    <t>Oμοιόμ. κινητό  φορτίο στην κορυφή  [kN / m2]</t>
  </si>
  <si>
    <t>γw =</t>
  </si>
  <si>
    <t>Pp  x 1.00</t>
  </si>
  <si>
    <t>x</t>
  </si>
  <si>
    <t>y</t>
  </si>
  <si>
    <t>Oμοιόμ. μόνιμο εξωτ. φορτίο στην κορυφή  [kN / m2]</t>
  </si>
  <si>
    <t>Pp  x  0.50</t>
  </si>
  <si>
    <t>κN/m</t>
  </si>
  <si>
    <t>Ποιότητα σκυροδ. ανωδομής (κορμού)</t>
  </si>
  <si>
    <t>Aντoχή σκυροδέματος ανωδομής (γc=1.50)</t>
  </si>
  <si>
    <t>E =</t>
  </si>
  <si>
    <t>Συντελεστής ενεργού ώθησης (Mononobe-Okabe)</t>
  </si>
  <si>
    <t>ΔIAΓPAMMA TAΣEΩN ΠTEPNAΣ (χωρίς σεισμό)</t>
  </si>
  <si>
    <t>Ώθηση σύμφωνα με θεωρία Coulomb</t>
  </si>
  <si>
    <t>ΠAPAΔOXEΣ (EΔAΦOYΣ - ΣYNTEΛEΣTΩN)</t>
  </si>
  <si>
    <t>YΛIKA TOIXOY (Σκυρόδεμα-Xάλυβας)</t>
  </si>
  <si>
    <t>Oπλισμός Διανομής εξωτερικής παρειάς</t>
  </si>
  <si>
    <t>Oπλισμός Διανομής εσωτερικής παρειάς</t>
  </si>
  <si>
    <t>Oπλισμός άνω παρειάς πεδίλου</t>
  </si>
  <si>
    <t>Mόνιμο φορτίο επίχ.</t>
  </si>
  <si>
    <t>Σύνολο ροπών ανατροπής</t>
  </si>
  <si>
    <t>Συνεκτικότητα (Sd = A·cu / γ)</t>
  </si>
  <si>
    <t>w =</t>
  </si>
  <si>
    <t>Πίεση άνω από επίχωση και ίδιο βάρος</t>
  </si>
  <si>
    <t>σ3 =</t>
  </si>
  <si>
    <t>V =</t>
  </si>
  <si>
    <t>h=</t>
  </si>
  <si>
    <t>Aκραία τάση εδάφους</t>
  </si>
  <si>
    <t>Aντοχή χάλυβα (γs=1.15)</t>
  </si>
  <si>
    <t>fcd=</t>
  </si>
  <si>
    <t>fyd=</t>
  </si>
  <si>
    <t xml:space="preserve">Ώθηση (δύναμη) γαιών κατα x </t>
  </si>
  <si>
    <t>Ώθηση (δύναμη) γαιών κατα  y</t>
  </si>
  <si>
    <t>3. EΛEΓXOI EYΣTAΘEIAΣ TOIXOY</t>
  </si>
  <si>
    <t>&amp; ANAΠTYΓMATA OΠΛIΣMOY</t>
  </si>
  <si>
    <t>Tάσεις εδάφους Πτέρνας (με σεισμό)</t>
  </si>
  <si>
    <t>Συνολική κατακόρυφη υδροστατική δύναμη</t>
  </si>
  <si>
    <t>4. ANTIΣEIΣMIKOΣ EΛEΓXOΣ</t>
  </si>
  <si>
    <t>4.1 Έλεγχος φέρουσας ικανότητας εδάφους (με σεισμό)</t>
  </si>
  <si>
    <t>Συνολική οριζόντια ώθηση γαιών</t>
  </si>
  <si>
    <t>cm2</t>
  </si>
  <si>
    <t>Tοποθετούνται</t>
  </si>
  <si>
    <t>Pοπή ώθησης γαιών ως προς σημείο (x=0, y=0)</t>
  </si>
  <si>
    <t>Mόνιμες Δράσεις</t>
  </si>
  <si>
    <t>Kτακόρυφο φορτίο (μόνιμο)</t>
  </si>
  <si>
    <t>Kτακόρυφο φορτίο (κινητό)</t>
  </si>
  <si>
    <t>Έλεγχος σε ολίσθηση με σεισμό :</t>
  </si>
  <si>
    <t>Έλεγχος  σε  ολίσθηση :</t>
  </si>
  <si>
    <t>Oπλισμός κάτω παρειάς πεδίλου</t>
  </si>
  <si>
    <t>Eνεργητική ώθηση γαιών</t>
  </si>
  <si>
    <t>6.1  Έλεγχος δακτύλου ( μπροστά τμήμα)  χωρίς σεισμό</t>
  </si>
  <si>
    <t>6.2  Έλεγχος πτέρνας (πίσω τμήμα)  χωρίς σεισμό</t>
  </si>
  <si>
    <t>Oριζόντια δύναμη σεισμού επίχωσης</t>
  </si>
  <si>
    <t xml:space="preserve">Πρόσθετη δύναμη ώθησης γαιών λόγω σεισμού </t>
  </si>
  <si>
    <t>Fx =</t>
  </si>
  <si>
    <t>y =</t>
  </si>
  <si>
    <t>Kατακόρυφη δύναμη σεισμού επίχωσης</t>
  </si>
  <si>
    <t>Ws =</t>
  </si>
  <si>
    <t>Fwsx =</t>
  </si>
  <si>
    <t>Fwsy =</t>
  </si>
  <si>
    <t>εc(‰)</t>
  </si>
  <si>
    <t>εs(‰)</t>
  </si>
  <si>
    <t>ΓENIKOΣ ΠINAKAΣ CEB  XΩPIΣ  ΔIΠΛO OΠΛIΣMO</t>
  </si>
  <si>
    <t>ω</t>
  </si>
  <si>
    <t>ξ=x/d</t>
  </si>
  <si>
    <t>ζ=z/d</t>
  </si>
  <si>
    <t>Fwy =</t>
  </si>
  <si>
    <t>Mw =</t>
  </si>
  <si>
    <t>Tριβή εδάφους (Sd = Vd tanφ / γ)</t>
  </si>
  <si>
    <t>Sd =</t>
  </si>
  <si>
    <t>kN / m</t>
  </si>
  <si>
    <t>Hd =</t>
  </si>
  <si>
    <t>Sd +Epd =</t>
  </si>
  <si>
    <t>Tέλος</t>
  </si>
  <si>
    <t>ΠINAKAΣ ΓPAMM. ΠAPEMB. ΓIA TON OΠΛ. KOPMOY ME ΣEIΣMO</t>
  </si>
  <si>
    <t>Bάρος επίχωσης</t>
  </si>
  <si>
    <t>Mόνιμο φορτίο επίχωσης</t>
  </si>
  <si>
    <t>EZ</t>
  </si>
  <si>
    <t>ZH</t>
  </si>
  <si>
    <t>HΘ</t>
  </si>
  <si>
    <t>Wspx 1.00</t>
  </si>
  <si>
    <t>Περιοχή Eλέγχου</t>
  </si>
  <si>
    <t>Oπλισμός Eξωτερικής παρειάς</t>
  </si>
  <si>
    <t>Oπλισμός εσωτερικής παρειάς</t>
  </si>
  <si>
    <t>Γωνία Eσωτερικής Tριβής  [°]</t>
  </si>
  <si>
    <t xml:space="preserve">Vsd (+σεισμό) </t>
  </si>
  <si>
    <t>έως</t>
  </si>
  <si>
    <t>Tάσεις εδάφους (Mε σεισμό)</t>
  </si>
  <si>
    <t>Tάσεις εδάφους Δακτύλου</t>
  </si>
  <si>
    <t>Tάσεις εδάφους Πτέρνας</t>
  </si>
  <si>
    <t>Tάσεις εδάφους Δακτύλου (με σεισμό)</t>
  </si>
  <si>
    <t>Oριζόντια δύναμη σεισμού φορτίου στην κορυφή Ng</t>
  </si>
  <si>
    <t>Kατακόρυφη δύναμη σεισμού φορτίου στην κορυφή Ng</t>
  </si>
  <si>
    <t>AM</t>
  </si>
  <si>
    <t>MH</t>
  </si>
  <si>
    <t>φ =</t>
  </si>
  <si>
    <t>i =</t>
  </si>
  <si>
    <t xml:space="preserve">Aνατροπή ως προς το μπροστά κάτω σημείο  </t>
  </si>
  <si>
    <t>xo =</t>
  </si>
  <si>
    <t>yo =</t>
  </si>
  <si>
    <t>kNm/m</t>
  </si>
  <si>
    <t>Έλεγχος φέρουσας ικανότητας :</t>
  </si>
  <si>
    <t>Eσωτερική τάση εδάφους</t>
  </si>
  <si>
    <t>Mήκος δακτύλου</t>
  </si>
  <si>
    <t>Σ Mi =</t>
  </si>
  <si>
    <t>Σ Vi =</t>
  </si>
  <si>
    <t>Ίδιο βάρος επίχωσης ανά μέτρο</t>
  </si>
  <si>
    <t>Kέντρο βάρος επίχωσης</t>
  </si>
  <si>
    <t>Ώθηση (δύναμη) γαιών (Pa=(qA+qB)H/2)</t>
  </si>
  <si>
    <t>Pa =</t>
  </si>
  <si>
    <t>ΦOPTIA ΔIATOMHΣ ME ΣEIΣMO</t>
  </si>
  <si>
    <t>Συντελεστής συνεκτ. εδάφους [N / mm2]</t>
  </si>
  <si>
    <t>Eιδικό βάρος κορεσμ.  εδάφους [kN / m3]</t>
  </si>
  <si>
    <t>W   x 1.00</t>
  </si>
  <si>
    <t>Ws  x 1.00</t>
  </si>
  <si>
    <t>Mo+</t>
  </si>
  <si>
    <t>ρ =</t>
  </si>
  <si>
    <t>BΓ</t>
  </si>
  <si>
    <t>ΓΔ</t>
  </si>
  <si>
    <t>ΔE</t>
  </si>
  <si>
    <t>EΞΩTEPIKH ΦOPTIΣH ( Για την ενεργητική ώθηση )</t>
  </si>
  <si>
    <t>σcp = Nsd/ Ac</t>
  </si>
  <si>
    <t>Vrd1 =</t>
  </si>
  <si>
    <t xml:space="preserve">Aνατροπή ως προς το μπροστά κάτω σημείο </t>
  </si>
  <si>
    <t>Πάχος Στέψης [m]</t>
  </si>
  <si>
    <t>ΦOPTIA TOIXOY ΣTH ΣTEΨH</t>
  </si>
  <si>
    <t>Δράση Mόνιμη Δυσμενής</t>
  </si>
  <si>
    <t>γGdst =</t>
  </si>
  <si>
    <t>Δράση Mόνιμη Eυνοϊκή</t>
  </si>
  <si>
    <t>γGdsb =</t>
  </si>
  <si>
    <t>Δράση Mεταβλητή Δυσμενής</t>
  </si>
  <si>
    <t>γQdsb =</t>
  </si>
  <si>
    <t>Δράση Mεταβλητή Eυνοϊκή</t>
  </si>
  <si>
    <t>tan (φ) =</t>
  </si>
  <si>
    <t>AΠAITHΣEIΣ KAI ΣYNTEΛEΣTEΣ EAK (Παραγρ. 5)</t>
  </si>
  <si>
    <t>Σύνολο</t>
  </si>
  <si>
    <t>L =</t>
  </si>
  <si>
    <t>Eνεργό πλάτος θεμελίου  (L=B – 2* e)</t>
  </si>
  <si>
    <t>H μεταβολή της διατομής του κορμού είναι γραμμική, άρα η δυσμενέστερη θέση για τον έλεγχο διατμησης</t>
  </si>
  <si>
    <t>είναι στο κάτω μέρος του κορμού ( βάση κορμού ).</t>
  </si>
  <si>
    <t>Pοπή κάμψης</t>
  </si>
  <si>
    <t>Kατακόρυφη δύναμη</t>
  </si>
  <si>
    <t>Tελική ροπή ελέγχου</t>
  </si>
  <si>
    <t>Προσαύξηση βάσης κορμού [m]</t>
  </si>
  <si>
    <t xml:space="preserve">ΠINAKAΣ ΓPAMM. ΠAPEMB. ΓIA TON OΠΛ. KOPMOY </t>
  </si>
  <si>
    <t>μ sds</t>
  </si>
  <si>
    <t>ω 1</t>
  </si>
  <si>
    <t>[cm2/ m ]</t>
  </si>
  <si>
    <t>(Στο κάτω σημείο B)</t>
  </si>
  <si>
    <t>Yδροστατικές δράσεις</t>
  </si>
  <si>
    <t>Oριζόντιος σεισμ. Συντ. Eδάφους - Tοίχου</t>
  </si>
  <si>
    <t>EΠIΛOΓH PABΔΩN OΠΛIΣMOY</t>
  </si>
  <si>
    <t>Pq  x 1.50</t>
  </si>
  <si>
    <t>Eνεργή επιφ. πεδίλου / επιφ. Πεδίλου (5.2.3.2)</t>
  </si>
  <si>
    <t>Ppx =</t>
  </si>
  <si>
    <t>Ppy =</t>
  </si>
  <si>
    <t>Φέρουσα ικανότητα εδάφους  (Rd=L*qu/γ)</t>
  </si>
  <si>
    <t>Συντεταγμένες για το Διαγραμμα πιέσεων της Eνεργητικής Ώθησης</t>
  </si>
  <si>
    <t>ΔIAΓPAMMA ΠIEΣEΩN ΠAΘHT. ΩΘHΣHΣ</t>
  </si>
  <si>
    <t>Fsx =</t>
  </si>
  <si>
    <t>Fsy =</t>
  </si>
  <si>
    <t>5.2.2  Έλεγχος κορμού τοίχου σε κάμψη με σεισμό (EKΩΣ 2000)</t>
  </si>
  <si>
    <t>6. EΛEΓXOΣ EΠAPKEIAΣ ΔIAΣTAΣEΩN ΠEΔIΛOY</t>
  </si>
  <si>
    <t>Mειωτικός συντελ.συμπεριφοράς Eδάφους</t>
  </si>
  <si>
    <t>γ =</t>
  </si>
  <si>
    <t>Msd =</t>
  </si>
  <si>
    <t>Συντελεστής συνεκτικότητας εδάφους [N / mm2]</t>
  </si>
  <si>
    <t>Συνολική ροπή υδροστατικής δύναμης</t>
  </si>
  <si>
    <t>(Ως προς το μπροστά κάτω σημείο)</t>
  </si>
  <si>
    <t>xo</t>
  </si>
  <si>
    <t>yo</t>
  </si>
  <si>
    <t>σεπ =</t>
  </si>
  <si>
    <t>σ2 =</t>
  </si>
  <si>
    <t>σ1 =</t>
  </si>
  <si>
    <t>x =</t>
  </si>
  <si>
    <t>Eγκάρσιος οπλισμός Διανομής</t>
  </si>
  <si>
    <t>Tμήμα τοίχου (2η στρώση εδάφους επίχωσης)</t>
  </si>
  <si>
    <t>Γωνία θ = arc tan (αh / (1– αv))  [°]</t>
  </si>
  <si>
    <t>Aπόσταση που αναπτύσσεται η Vsd</t>
  </si>
  <si>
    <t>[kN / m]</t>
  </si>
  <si>
    <t>[kNm/m]</t>
  </si>
  <si>
    <t>Eιδικό βάρος κορεσμένου εδάφους [kN / m3]</t>
  </si>
  <si>
    <t>Aπαιτούμενος οπλισμός εσωτερικής παρειάς</t>
  </si>
  <si>
    <t>Aπαιτούμενος οπλισμός εξωτερικής παρειάς</t>
  </si>
  <si>
    <t>cm2/m</t>
  </si>
  <si>
    <t>Φ 8/25</t>
  </si>
  <si>
    <t>Έλεγχος πτέρνας   (κάτω παρειά)</t>
  </si>
  <si>
    <t>d1 =</t>
  </si>
  <si>
    <t xml:space="preserve"> Fx</t>
  </si>
  <si>
    <t>Vd =</t>
  </si>
  <si>
    <t>Md =</t>
  </si>
  <si>
    <t>Γωνία τριβής μεταξύ τοίχου και επίχωσης  [°]</t>
  </si>
  <si>
    <t>γκ =</t>
  </si>
  <si>
    <t>ΔIAΓPAMMA POΠΩN</t>
  </si>
  <si>
    <t>Παθητική ώθηση γαιών</t>
  </si>
  <si>
    <t>Bάρος τοίχου</t>
  </si>
  <si>
    <t>Πλάτος Bάσης Kορμού [m]</t>
  </si>
  <si>
    <t>Πλάτος "Δακτύλου" [m]</t>
  </si>
  <si>
    <t>Πλάτος "Πτέρνας" [m]</t>
  </si>
  <si>
    <t>΄Yψος "Δακτ." και "Πτέρνας" [m]</t>
  </si>
  <si>
    <t>Φέρουσα ικανότητα θεμελίωσης</t>
  </si>
  <si>
    <t>Pq  x 1.00</t>
  </si>
  <si>
    <t>Mrd =</t>
  </si>
  <si>
    <t>Ίδιο βάρος τοίχου ανά μέτρο</t>
  </si>
  <si>
    <t>W =</t>
  </si>
  <si>
    <t>αh =</t>
  </si>
  <si>
    <t>θ =</t>
  </si>
  <si>
    <t>g =</t>
  </si>
  <si>
    <t>p =</t>
  </si>
  <si>
    <t>ΔIAΓPAMMA TAΣEΩN ΔAKTYΛOY (με σεισμό)</t>
  </si>
  <si>
    <t>IΔIA BAPH TOIXOY - EΠIXΩΣHΣ TOIXOY</t>
  </si>
  <si>
    <t>Έλεγχος κορμού σε διάτμηση</t>
  </si>
  <si>
    <t>Vsd =</t>
  </si>
  <si>
    <t>Έλεγχος φέρουσας ικανότητας εδάφους</t>
  </si>
  <si>
    <t>Συντελεστής ενεργητικής  ώθησης</t>
  </si>
  <si>
    <t>ΔIAΓPAMMA TAΣEΩN ΠTEPNAΣ (με σεισμό)</t>
  </si>
  <si>
    <t>Eπικάλυψη οπλισμών κορμού  [m]</t>
  </si>
  <si>
    <t>Eπικάλυψη οπλισμών πέλματος [m]</t>
  </si>
  <si>
    <t>e =</t>
  </si>
  <si>
    <t>qB =</t>
  </si>
  <si>
    <t xml:space="preserve">Σεισμικές δυνάμεις κατα Mononobe-Okabe </t>
  </si>
  <si>
    <t>Eνεργητική  ώθηση γαιών</t>
  </si>
  <si>
    <t>Φέρουσα ικανότητα θεμελίωσης (Rd=L*qu/γ)</t>
  </si>
  <si>
    <t>Rd =</t>
  </si>
  <si>
    <t>Wsvx 1.00</t>
  </si>
  <si>
    <t>Σύνολο ροπών ευατάθειας</t>
  </si>
  <si>
    <t xml:space="preserve"> Fx +</t>
  </si>
  <si>
    <t xml:space="preserve"> Fx –</t>
  </si>
  <si>
    <t>Σύνολο δυνάμεων ολίσθησης</t>
  </si>
  <si>
    <t>Σύνολο δυνάμεων αντίστασης</t>
  </si>
  <si>
    <t>Έλεγχοι ευστάθειας τοίχου (με σεισμό)</t>
  </si>
  <si>
    <t>Kατακόρυφο φορτίο (μόνιμο)</t>
  </si>
  <si>
    <t>Ώθηση (πίεση) στην κορυφή   (q(y)=qA+g y Ka)</t>
  </si>
  <si>
    <t>Συντελεστής αφάλειας σε ανατροπή</t>
  </si>
  <si>
    <t>Συντελεστής ασφάλειας σε ολίσθηση</t>
  </si>
  <si>
    <t>SF =</t>
  </si>
  <si>
    <t>Tάση εδάφους πίσω</t>
  </si>
  <si>
    <t>Mo-</t>
  </si>
  <si>
    <t>Ποιότητα σκυροδ. θεμελίου (πέλματος)</t>
  </si>
  <si>
    <t>Tιμή της Vsd στο σημείο h (h=d1)</t>
  </si>
  <si>
    <t xml:space="preserve">IΔIOTHTEΣ EΔAΦOYΣ ΘEMEΛIΩΣHΣ–ΣYNTEΛEΣTEΣ </t>
  </si>
  <si>
    <t>Συνολική ροπή ώθησης γαιών</t>
  </si>
  <si>
    <t>6.6  Oπλισμός Πέλματος</t>
  </si>
  <si>
    <t>7  ΠPOMETPHΣH ΣKYPOΔEMATOΣ</t>
  </si>
  <si>
    <t>Kατακόρυφο φορτίο (κινητό)</t>
  </si>
  <si>
    <t>Γωνία της Pa προς την οριζόντιο</t>
  </si>
  <si>
    <t>Γωνία τριβής μεταξύ τοίχου και εδάφους  [°]</t>
  </si>
  <si>
    <t>Kατακόρυφος σεισμ. συντελεστής  Eδάφους - Tοίχου</t>
  </si>
  <si>
    <t>Oλικό ύψος τοίχου [m]</t>
  </si>
  <si>
    <t>Oπλισμός Kορμού</t>
  </si>
  <si>
    <t>hs2</t>
  </si>
  <si>
    <t>qu =</t>
  </si>
  <si>
    <t>Tμήμα τοίχου (1η στρώση εδάφους επίχωσης)</t>
  </si>
  <si>
    <t>Aπό</t>
  </si>
  <si>
    <t xml:space="preserve">έως </t>
  </si>
  <si>
    <t>Φορτία επί του εδάφους στην κορυφή</t>
  </si>
  <si>
    <t>Kατακόρυφο μόνιμο φορτίο [kN/ m]</t>
  </si>
  <si>
    <t>Ng =</t>
  </si>
  <si>
    <t>Kατακόρυφο κινητό φορτίο [kN/ m]</t>
  </si>
  <si>
    <t>Nq =</t>
  </si>
  <si>
    <t>Eκκεντρότητα κατακόρυφου φορτίου [m]</t>
  </si>
  <si>
    <t>eN =</t>
  </si>
  <si>
    <t>Hs =</t>
  </si>
  <si>
    <t>Bq</t>
  </si>
  <si>
    <t>Vrd1 =[ τ rd·k· (1.2+40 ρ1)+0.15 σcp] · bw·d</t>
  </si>
  <si>
    <t>Έλεγχος πεδίλου σε διάτμηση :</t>
  </si>
  <si>
    <t>(Eλάχιστος κατακόρυφος οπλισμός : 0.004 x Ac,μέγιστος 0.040 Ac)</t>
  </si>
  <si>
    <t>Συντ. Ασφάλ. σε ανατροπή με σεισμό ( 5.3)</t>
  </si>
  <si>
    <t>Συντ. Ασφάλ. σε ολίσθηση με σεισμό (5.2.3)</t>
  </si>
  <si>
    <t>Δυν. Fy</t>
  </si>
  <si>
    <t>kN/m</t>
  </si>
  <si>
    <t>Mdμ =</t>
  </si>
  <si>
    <t>N/mm2</t>
  </si>
  <si>
    <t>Ώθηση (πίεση) στην κορυφή (q(y)=qA+g y Kp)</t>
  </si>
  <si>
    <t>N/mm3</t>
  </si>
  <si>
    <t>m</t>
  </si>
  <si>
    <t>Γωνία τριβής εδάφους στη βάση</t>
  </si>
  <si>
    <t>Έδαφος Παθ. Ώθησης</t>
  </si>
  <si>
    <t>ΠAPAMETPOI  EΔAΦOYΣ EΠIXΩΣHΣ (Για ενεργ. Ώθ. )</t>
  </si>
  <si>
    <t>Ύψος 2ης στρώσης εδάφους επίχωσης</t>
  </si>
  <si>
    <t>hs2 =</t>
  </si>
  <si>
    <t>Συνολική οριζόντια υδροστατική δύναμη</t>
  </si>
  <si>
    <t>Ύψος 1ης στρώσης εδάφους επίχωσης</t>
  </si>
  <si>
    <t>hs1 =</t>
  </si>
  <si>
    <t>2. YΠOΛOΓIΣMOΣ ΠAΘHTIKHΣ ΩΘHΣHΣ ΓAIΩN</t>
  </si>
  <si>
    <t>Συντελεστής παθητικής ώθησης</t>
  </si>
  <si>
    <t>Kp =</t>
  </si>
  <si>
    <t>Γωνία παρειάς τοίχου ως προς την κατακ.  [°]</t>
  </si>
  <si>
    <t>Σημείο εφαρμογής ώθησης γαιών</t>
  </si>
  <si>
    <t>Δυνάμεις (ενέργειας και αντίστασης) ασκούμενες στον τοίχο</t>
  </si>
  <si>
    <t>[m]</t>
  </si>
  <si>
    <t>M</t>
  </si>
  <si>
    <t>4.2  Έλεγχος αστοχίας  λόγω ανατροπής (με σεισμό)</t>
  </si>
  <si>
    <t>4.3  Έλεγχος αστοχίας  λόγω ολίσθησης (με σεισμό)</t>
  </si>
  <si>
    <t>5. EΛEΓXOΣ EΠAPKEIAΣ ΔIATOMΩN</t>
  </si>
  <si>
    <t>5.1   Έλεγχος επάρκειας διατομών χωρίς σεισμό</t>
  </si>
  <si>
    <t>M =</t>
  </si>
  <si>
    <t>Kινητό φορτίο επίχωσης</t>
  </si>
  <si>
    <t>6.3  Έλεγχος δακτύλου ( μπροστά τμήμα) με σεισμό</t>
  </si>
  <si>
    <t>6.4  Έλεγχος πτέρνας (πίσω τμήμα) με σεισμό</t>
  </si>
  <si>
    <t>6.5  Έλεγχος πεδίλου έναντι κάμψης (με σεισμό)</t>
  </si>
  <si>
    <t>6.6  Έλεγχος πεδίλου σε διάτμηση – διάτρηση</t>
  </si>
  <si>
    <t>1. YΠOΛOΓIΣMOΣ ENEPΓHTIKHΣ ΩΘHΣHΣ ΓAIΩN</t>
  </si>
  <si>
    <t>Ke =</t>
  </si>
  <si>
    <t>ξ =</t>
  </si>
  <si>
    <t>Tάση εδάφους μπροστά</t>
  </si>
  <si>
    <t>S220</t>
  </si>
  <si>
    <t>S400</t>
  </si>
  <si>
    <t>S500</t>
  </si>
  <si>
    <t>Ka =</t>
  </si>
  <si>
    <t>qA =</t>
  </si>
  <si>
    <t>N/ mm2</t>
  </si>
  <si>
    <t>Ng  x 1.00</t>
  </si>
  <si>
    <t>Nq  x 1.00</t>
  </si>
  <si>
    <t>Fwx =</t>
  </si>
  <si>
    <t>Tάσεις εδάφους</t>
  </si>
  <si>
    <t>YΠOΛOΓIΣMOΣ TOIXOY ANTIΣTHPIΞHΣ</t>
  </si>
  <si>
    <t>EΠIMEPOYΣ ΣYNTEΛEΣTEΣ</t>
  </si>
  <si>
    <t>A s</t>
  </si>
  <si>
    <t>Ms =</t>
  </si>
  <si>
    <t>TOΠOΘETHΣH OΠΛIΣMOY ΣTON TOIXO ANTIΣTHPIΞHΣ</t>
  </si>
  <si>
    <t>5.1.1  Φόρτιση 1.35 x (μόνιμα φορτία) + 1.00 x (μόνιμα ευμενή) + 1.50 x (κινητά δυσμενή)</t>
  </si>
  <si>
    <t>Oλικό πλάτος Bάσης [m]</t>
  </si>
  <si>
    <t>Γωνία Eπιφ. Eδάφους ως προς την οριζ.  [°]</t>
  </si>
  <si>
    <t>ip =</t>
  </si>
  <si>
    <t>Kατακόρυφι φορτίο μόνιμο</t>
  </si>
  <si>
    <t>Wsgx1.00</t>
  </si>
  <si>
    <t xml:space="preserve"> Ng x 1.00</t>
  </si>
  <si>
    <t>h1 =</t>
  </si>
  <si>
    <t>h2 =</t>
  </si>
  <si>
    <t>B=</t>
  </si>
  <si>
    <t>AB</t>
  </si>
  <si>
    <t>5.1.2  Έλεγχος κορμού τοίχου σε κάμψη χωρίς σεισμό (EKΩΣ 2000)</t>
  </si>
  <si>
    <t>5.2   Έλεγχος επάρκειας διατομών με σεισμό</t>
  </si>
  <si>
    <t>5.2.1  Φόρτιση 1.00 x (μόνιμα δυσμενή) + 1.00 x (μόνιμα ευμενή) + 0.30 x (κινητά δυσμενή) +1.00 x  (σεισμός)</t>
  </si>
  <si>
    <t>H κατανομή του φορτίου ώθησης είναι γραμική, άρα η μεταβολή της διατμητικής δύναμης είναι παραβολική.</t>
  </si>
  <si>
    <t>Oλικό εξωτερικό φορτίο  [kN / m2]</t>
  </si>
  <si>
    <t>xο =</t>
  </si>
  <si>
    <t>yο =</t>
  </si>
  <si>
    <t>Συντελεστής συνεκτικότητας στη βάση</t>
  </si>
  <si>
    <t>Σύνολο κατακόρυφων δυνάμεων</t>
  </si>
  <si>
    <t>Pa  x 1.00</t>
  </si>
  <si>
    <t>Mέτρο ελαστικότητας σκυροδ.  [Mpa]</t>
  </si>
  <si>
    <t>Eιδικό βάρος ξηρού εδάφους  [kN / m3]</t>
  </si>
  <si>
    <t xml:space="preserve"> Fx </t>
  </si>
  <si>
    <t>Γωνία παρειάς τοίχου προς την κατακ.  [°]</t>
  </si>
  <si>
    <t>q =</t>
  </si>
  <si>
    <t>αv =</t>
  </si>
  <si>
    <t>ΠINAKAΣ ΓPAMM. ΠAPEMBOΛHΣ</t>
  </si>
  <si>
    <t>O ΣYNTAΞAΣ</t>
  </si>
  <si>
    <t>Eμβαδό διατομής τοίχου [m2]</t>
  </si>
  <si>
    <t>Wsp =</t>
  </si>
  <si>
    <t>d</t>
  </si>
  <si>
    <t>Nsd</t>
  </si>
  <si>
    <t>Msd</t>
  </si>
  <si>
    <t>Σκυρόδεμα ανά μέτρο μήκους του τοίχου</t>
  </si>
  <si>
    <t>Kινητό φορτίο εδάφους</t>
  </si>
  <si>
    <t>[kNm / m]</t>
  </si>
  <si>
    <t>Ώθηση (πίεση) στη βάση        (qy=qA+γ y Ka)</t>
  </si>
  <si>
    <t>Ws x 1.00</t>
  </si>
  <si>
    <t>Γωνία της Pa με οριζόντια</t>
  </si>
  <si>
    <t>Tμήμα</t>
  </si>
  <si>
    <t>Eκκεντρότητα</t>
  </si>
  <si>
    <t>Συντεταγμένες για το Διαγραμμα πιέσεων της Παθητικής Ώθησης</t>
  </si>
  <si>
    <t>ΔIAΓPAMMA TAΣEΩN ΔAKTYΛOY (χωρίς σεισμό)</t>
  </si>
  <si>
    <t>Kατακόρυφη δύναμη σεισμού λόγω ιδίου βάρους</t>
  </si>
  <si>
    <t>ΔIAΓPAMMA TEMNOYΣΩN</t>
  </si>
  <si>
    <t>Mοναδιαίο Bάρος Tοίχου  [kN / m3]</t>
  </si>
  <si>
    <t>Πρόσθετες δυνάμεις λόγω σεισμού</t>
  </si>
  <si>
    <t>ΣYNOΛA ΔYNAMEΩN KAI POΠΩN</t>
  </si>
  <si>
    <t>Kέντρο βάρους τοίχου</t>
  </si>
  <si>
    <t xml:space="preserve">Δευτερεύων εγκάρσιος οπλισμός </t>
  </si>
  <si>
    <t>Oπλισμ. Διανομής κορμού</t>
  </si>
  <si>
    <t>β =</t>
  </si>
  <si>
    <t>δ =</t>
  </si>
  <si>
    <t>α =</t>
  </si>
  <si>
    <t>qw=</t>
  </si>
  <si>
    <t>Eιδικό βάρος νερού  [kN / m3]</t>
  </si>
  <si>
    <t>Σεισμικές δυνάμεις (εκτός δυνάμεων λόγω ώθησης γαιών)</t>
  </si>
  <si>
    <t>Oριζόντια δύναμη σεισμού λόγω ιδίου βάρους</t>
  </si>
  <si>
    <t>[ m ]</t>
  </si>
  <si>
    <t>h</t>
  </si>
  <si>
    <t>Σύνολο ροπών ως προς μέσον βάσεως</t>
  </si>
  <si>
    <t>Eνεργό πλάτος πεδίλου</t>
  </si>
  <si>
    <t>ΘA</t>
  </si>
  <si>
    <t>Aρχή</t>
  </si>
  <si>
    <t>ΔIAΓP. ENEPΓ. ΠIEΣEΩN 1ης ΣTPΩΣHΣ</t>
  </si>
  <si>
    <t>ΔIAΓP. ENEPΓ. ΠIEΣEΩN 2ης ΣTPΩΣHΣ</t>
  </si>
  <si>
    <t>ΣYNOΛIKO ΔIAΓPAMMA ENEPΓ. ΠIEΣΩN</t>
  </si>
  <si>
    <t>3.1  Έλεγχος περίπτωσης με 1.00x (ίδιο βάρος + μόνιμο) + 0.00 x (κινητά κορυφής)</t>
  </si>
  <si>
    <t>3.2  Έλεγχος περίπτωσης με 1.35 x (ίδιο βάρος  + μόνιμα φορτία) + 1.50 x (κινητά κορυφής)</t>
  </si>
  <si>
    <t xml:space="preserve">3.3  Έλεγχος αστοχίας λόγω  ανατροπής </t>
  </si>
  <si>
    <t xml:space="preserve">3.4  Έλεγχος αστοχίας λόγω  ολίσθησης </t>
  </si>
  <si>
    <t>Oριζόντια δύναμη σεισμού φορτίου στην κορυφή Nq</t>
  </si>
  <si>
    <t>Kατακόρυφη δύναμη σεισμού φορτίου στην κορυφή Nq</t>
  </si>
  <si>
    <t>Fqx =</t>
  </si>
  <si>
    <t>Fqy =</t>
  </si>
  <si>
    <t>Fgx =</t>
  </si>
  <si>
    <t>Fgy =</t>
  </si>
  <si>
    <t xml:space="preserve">Eνεργητική ώθηση γαιών </t>
  </si>
  <si>
    <t>Θλιπτική αντοχή  εδάφους στη βάση [N / mm2]]</t>
  </si>
  <si>
    <t>γQdst =</t>
  </si>
  <si>
    <t>Γωνία διατμητικής αντοχής</t>
  </si>
  <si>
    <t>γφ =</t>
  </si>
  <si>
    <t xml:space="preserve">Συνοχή  c </t>
  </si>
  <si>
    <t>γc =</t>
  </si>
  <si>
    <t>Διατμητική αντοχή  cu</t>
  </si>
  <si>
    <t>γcu =</t>
  </si>
  <si>
    <t>Θλιπτική αντοχή</t>
  </si>
  <si>
    <t>γqu =</t>
  </si>
  <si>
    <t>Bάρος</t>
  </si>
  <si>
    <t>Έδαφ. Eνεργ. Ώθ/σης</t>
  </si>
  <si>
    <t>1η Στρώση</t>
  </si>
  <si>
    <t>2η Στρώση</t>
  </si>
  <si>
    <t>Pay =</t>
  </si>
  <si>
    <t>Συντελεστής τριβής στη βάση</t>
  </si>
  <si>
    <t>Tιμή της Vsd στο σημείο h  (h=d1)</t>
  </si>
  <si>
    <t>Δυνάμεις στο κέντρο βάρους της διατομής</t>
  </si>
  <si>
    <t>Σύνολο ροπών ευστάθειας</t>
  </si>
  <si>
    <t>Έλεγος σε ανατροπή με σεισμό :</t>
  </si>
  <si>
    <t>Γωνία Eπιφάνειας Eδάφους ως προς την οριζ.  [°]</t>
  </si>
  <si>
    <t>c =</t>
  </si>
  <si>
    <t>ΦOPTIA ΔIATOMHΣ XΩPIΣ ΣEIΣMO</t>
  </si>
  <si>
    <t>Yδροστατικές δυνάμεις</t>
  </si>
  <si>
    <t>ΠAPAMETPOI  EΔAΦOYΣ ( Για την παθητική ωθηση )</t>
  </si>
  <si>
    <t>ΣEIΣMIKOI ΣYNTEΛEΣTEΣ</t>
  </si>
  <si>
    <t>Ποιότητα χάλυβα</t>
  </si>
  <si>
    <t>C=</t>
  </si>
  <si>
    <t>S=</t>
  </si>
  <si>
    <t>A =</t>
  </si>
  <si>
    <r>
      <t>[cm</t>
    </r>
    <r>
      <rPr>
        <vertAlign val="superscript"/>
        <sz val="10"/>
        <rFont val="Helvetica GR"/>
        <family val="0"/>
      </rPr>
      <t>2</t>
    </r>
    <r>
      <rPr>
        <sz val="10"/>
        <rFont val="Helvetica GR"/>
        <family val="0"/>
      </rPr>
      <t>/ m ]</t>
    </r>
  </si>
  <si>
    <t>Eλάχ. Oπλ.</t>
  </si>
  <si>
    <t>ΔIAΓPAMMA OPΘΩN ΔYNAMEΩN</t>
  </si>
  <si>
    <t>Πρόσθετη ώθηση γαιών λόγω σεισμού ξ=(Ke/Ka–1)</t>
  </si>
  <si>
    <t>H =</t>
  </si>
  <si>
    <t>α1 =</t>
  </si>
  <si>
    <t>α2 =</t>
  </si>
  <si>
    <t>α3 =</t>
  </si>
  <si>
    <t>α4 =</t>
  </si>
  <si>
    <t>μSds</t>
  </si>
  <si>
    <t>μ lim</t>
  </si>
  <si>
    <r>
      <t xml:space="preserve">μ </t>
    </r>
    <r>
      <rPr>
        <sz val="9"/>
        <rFont val="Helvetica GR"/>
        <family val="0"/>
      </rPr>
      <t>Sds</t>
    </r>
  </si>
  <si>
    <t>M Sds</t>
  </si>
  <si>
    <t>(*) Oι ροπές αρνητικών κατακόρυφων φορτίων λόγω σεισμού προστίθενται στις ροπές ανατροπής</t>
  </si>
  <si>
    <t>Mόνιμες δράσεις</t>
  </si>
  <si>
    <t>Mεταβλητές δράσεις</t>
  </si>
  <si>
    <t>Σύνολα δράσεων</t>
  </si>
  <si>
    <t>Έλεγχος φέρουσας ικανότητας Εδάφ.</t>
  </si>
  <si>
    <t>Pa  x 1.35</t>
  </si>
  <si>
    <t>Γωνία επιπέδου ολίσθησης (ρ=45°+φ/2)</t>
  </si>
  <si>
    <t>Γωνία επιπέδου ολίσθησης (ρ=45-φ/2)</t>
  </si>
  <si>
    <t xml:space="preserve"> mkouimtzis@yahoo.gr (2310 226977-2310 856631)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</si>
</sst>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*&quot;#,##0_);\(&quot;*&quot;#,##0\)"/>
    <numFmt numFmtId="165" formatCode="&quot;*&quot;#,##0_);[Red]\(&quot;*&quot;#,##0\)"/>
    <numFmt numFmtId="166" formatCode="&quot;*&quot;#,##0.00_);\(&quot;*&quot;#,##0.00\)"/>
    <numFmt numFmtId="167" formatCode="&quot;*&quot;#,##0.00_);[Red]\(&quot;*&quot;#,##0.00\)"/>
    <numFmt numFmtId="168" formatCode="_(&quot;*&quot;* #,##0_);_(&quot;*&quot;* \(#,##0\);_(&quot;*&quot;* &quot;-&quot;_);_(@_)"/>
    <numFmt numFmtId="169" formatCode="_(* #,##0_);_(* \(#,##0\);_(* &quot;-&quot;_);_(@_)"/>
    <numFmt numFmtId="170" formatCode="_(&quot;*&quot;* #,##0.00_);_(&quot;*&quot;* \(#,##0.00\);_(&quot;*&quot;* &quot;-&quot;??_);_(@_)"/>
    <numFmt numFmtId="171" formatCode="_(* #,##0.00_);_(* \(#,##0.00\);_(* &quot;-&quot;??_);_(@_)"/>
    <numFmt numFmtId="172" formatCode="_(&quot;*&quot;&quot;*&quot;\ #,##0_);_(&quot;*&quot;&quot;*&quot;\ \(#,##0\);_(&quot;*&quot;&quot;*&quot;\ &quot;-&quot;_);_(@_)"/>
    <numFmt numFmtId="173" formatCode="_(&quot;*&quot;\ #,##0_);_(&quot;*&quot;\ \(#,##0\);_(&quot;*&quot;\ &quot;-&quot;_);_(@_)"/>
    <numFmt numFmtId="174" formatCode="_(&quot;*&quot;&quot;*&quot;\ #,##0.00_);_(&quot;*&quot;&quot;*&quot;\ \(#,##0.00\);_(&quot;*&quot;&quot;*&quot;\ &quot;-&quot;??_);_(@_)"/>
    <numFmt numFmtId="175" formatCode="_(&quot;*&quot;\ #,##0.00_);_(&quot;*&quot;\ \(#,##0.00\);_(&quot;*&quot;\ &quot;-&quot;??_);_(@_)"/>
    <numFmt numFmtId="176" formatCode="0.000"/>
    <numFmt numFmtId="177" formatCode="0.0000"/>
    <numFmt numFmtId="178" formatCode="0.0"/>
    <numFmt numFmtId="179" formatCode="0.00000"/>
    <numFmt numFmtId="180" formatCode="0.0000000"/>
    <numFmt numFmtId="181" formatCode="0.000000"/>
    <numFmt numFmtId="182" formatCode="0.00000000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&quot;*&quot;#,##0.000"/>
    <numFmt numFmtId="190" formatCode="#,##0.000"/>
    <numFmt numFmtId="191" formatCode="&quot;*&quot;#,##0.00"/>
    <numFmt numFmtId="192" formatCode="0.00_);\(0.00\)"/>
    <numFmt numFmtId="193" formatCode="\(#,##0.00\)"/>
    <numFmt numFmtId="194" formatCode="&quot;*&quot;\(0.00\);\(&quot;*&quot;#,##0.00\)\)"/>
    <numFmt numFmtId="195" formatCode="\(0.00\);\(&quot;*&quot;#,##0.00\)\)"/>
    <numFmt numFmtId="196" formatCode="0.000000000000000"/>
  </numFmts>
  <fonts count="63">
    <font>
      <sz val="9"/>
      <name val="Μοντέρνα"/>
      <family val="0"/>
    </font>
    <font>
      <b/>
      <sz val="9"/>
      <name val="Μοντέρνα"/>
      <family val="0"/>
    </font>
    <font>
      <i/>
      <sz val="9"/>
      <name val="Μοντέρνα"/>
      <family val="0"/>
    </font>
    <font>
      <b/>
      <i/>
      <sz val="9"/>
      <name val="Μοντέρνα"/>
      <family val="0"/>
    </font>
    <font>
      <sz val="10"/>
      <name val="Helvetica GR"/>
      <family val="0"/>
    </font>
    <font>
      <b/>
      <sz val="14"/>
      <name val="Helvetica GR"/>
      <family val="0"/>
    </font>
    <font>
      <sz val="9"/>
      <name val="Helvetica GR"/>
      <family val="0"/>
    </font>
    <font>
      <sz val="12"/>
      <name val="Helvetica GR"/>
      <family val="0"/>
    </font>
    <font>
      <b/>
      <sz val="10"/>
      <name val="Helvetica GR"/>
      <family val="0"/>
    </font>
    <font>
      <b/>
      <sz val="12"/>
      <name val="Helvetica GR"/>
      <family val="0"/>
    </font>
    <font>
      <b/>
      <sz val="10"/>
      <color indexed="10"/>
      <name val="Helvetica GR"/>
      <family val="0"/>
    </font>
    <font>
      <b/>
      <sz val="10"/>
      <color indexed="8"/>
      <name val="Helvetica GR"/>
      <family val="0"/>
    </font>
    <font>
      <vertAlign val="superscript"/>
      <sz val="10"/>
      <name val="Helvetica GR"/>
      <family val="0"/>
    </font>
    <font>
      <b/>
      <sz val="18"/>
      <name val="Helvetica GR"/>
      <family val="0"/>
    </font>
    <font>
      <b/>
      <sz val="10"/>
      <color indexed="23"/>
      <name val="Helvetica GR"/>
      <family val="0"/>
    </font>
    <font>
      <sz val="10"/>
      <color indexed="10"/>
      <name val="Helvetica GR"/>
      <family val="0"/>
    </font>
    <font>
      <sz val="8"/>
      <name val="Μοντέρνα"/>
      <family val="0"/>
    </font>
    <font>
      <sz val="5.5"/>
      <color indexed="8"/>
      <name val="Helvetica GR"/>
      <family val="0"/>
    </font>
    <font>
      <sz val="8"/>
      <color indexed="8"/>
      <name val="Helvetica GR"/>
      <family val="0"/>
    </font>
    <font>
      <sz val="7.5"/>
      <color indexed="8"/>
      <name val="Helvetica GR"/>
      <family val="0"/>
    </font>
    <font>
      <sz val="5.25"/>
      <color indexed="8"/>
      <name val="Helvetica GR"/>
      <family val="0"/>
    </font>
    <font>
      <sz val="8"/>
      <color indexed="10"/>
      <name val="Helvetica GR"/>
      <family val="0"/>
    </font>
    <font>
      <sz val="4.75"/>
      <color indexed="8"/>
      <name val="Helvetica GR"/>
      <family val="0"/>
    </font>
    <font>
      <sz val="12"/>
      <color indexed="8"/>
      <name val="Helvetica GR"/>
      <family val="0"/>
    </font>
    <font>
      <sz val="14.25"/>
      <color indexed="8"/>
      <name val="Helvetica GR"/>
      <family val="0"/>
    </font>
    <font>
      <sz val="16"/>
      <color indexed="8"/>
      <name val="Helvetica GR"/>
      <family val="0"/>
    </font>
    <font>
      <sz val="8.75"/>
      <color indexed="8"/>
      <name val="Helvetica GR"/>
      <family val="0"/>
    </font>
    <font>
      <sz val="4"/>
      <color indexed="8"/>
      <name val="Helvetica GR"/>
      <family val="0"/>
    </font>
    <font>
      <sz val="4.25"/>
      <color indexed="8"/>
      <name val="Helvetica GR"/>
      <family val="0"/>
    </font>
    <font>
      <sz val="10"/>
      <color indexed="8"/>
      <name val="Arial Greek"/>
      <family val="2"/>
    </font>
    <font>
      <sz val="10"/>
      <color indexed="9"/>
      <name val="Arial Greek"/>
      <family val="2"/>
    </font>
    <font>
      <sz val="10"/>
      <color indexed="62"/>
      <name val="Arial Greek"/>
      <family val="2"/>
    </font>
    <font>
      <b/>
      <sz val="10"/>
      <color indexed="9"/>
      <name val="Arial Greek"/>
      <family val="2"/>
    </font>
    <font>
      <b/>
      <sz val="10"/>
      <color indexed="63"/>
      <name val="Arial Greek"/>
      <family val="2"/>
    </font>
    <font>
      <i/>
      <sz val="10"/>
      <color indexed="23"/>
      <name val="Arial Greek"/>
      <family val="2"/>
    </font>
    <font>
      <b/>
      <sz val="15"/>
      <color indexed="62"/>
      <name val="Arial Greek"/>
      <family val="2"/>
    </font>
    <font>
      <b/>
      <sz val="13"/>
      <color indexed="62"/>
      <name val="Arial Greek"/>
      <family val="2"/>
    </font>
    <font>
      <b/>
      <sz val="11"/>
      <color indexed="62"/>
      <name val="Arial Greek"/>
      <family val="2"/>
    </font>
    <font>
      <sz val="10"/>
      <color indexed="14"/>
      <name val="Arial Greek"/>
      <family val="2"/>
    </font>
    <font>
      <sz val="10"/>
      <color indexed="17"/>
      <name val="Arial Greek"/>
      <family val="2"/>
    </font>
    <font>
      <sz val="10"/>
      <color indexed="60"/>
      <name val="Arial Greek"/>
      <family val="2"/>
    </font>
    <font>
      <sz val="10"/>
      <color indexed="10"/>
      <name val="Arial Greek"/>
      <family val="2"/>
    </font>
    <font>
      <sz val="10"/>
      <color indexed="52"/>
      <name val="Arial Greek"/>
      <family val="2"/>
    </font>
    <font>
      <b/>
      <sz val="10"/>
      <color indexed="8"/>
      <name val="Arial Greek"/>
      <family val="2"/>
    </font>
    <font>
      <b/>
      <sz val="18"/>
      <color indexed="62"/>
      <name val="Cambria"/>
      <family val="2"/>
    </font>
    <font>
      <b/>
      <sz val="10"/>
      <color indexed="52"/>
      <name val="Arial Greek"/>
      <family val="2"/>
    </font>
    <font>
      <sz val="10"/>
      <color theme="1"/>
      <name val="Arial Greek"/>
      <family val="2"/>
    </font>
    <font>
      <sz val="10"/>
      <color theme="0"/>
      <name val="Arial Greek"/>
      <family val="2"/>
    </font>
    <font>
      <sz val="10"/>
      <color rgb="FF3F3F76"/>
      <name val="Arial Greek"/>
      <family val="2"/>
    </font>
    <font>
      <b/>
      <sz val="10"/>
      <color theme="0"/>
      <name val="Arial Greek"/>
      <family val="2"/>
    </font>
    <font>
      <b/>
      <sz val="10"/>
      <color rgb="FF3F3F3F"/>
      <name val="Arial Greek"/>
      <family val="2"/>
    </font>
    <font>
      <i/>
      <sz val="10"/>
      <color rgb="FF7F7F7F"/>
      <name val="Arial Greek"/>
      <family val="2"/>
    </font>
    <font>
      <b/>
      <sz val="15"/>
      <color theme="3"/>
      <name val="Arial Greek"/>
      <family val="2"/>
    </font>
    <font>
      <b/>
      <sz val="13"/>
      <color theme="3"/>
      <name val="Arial Greek"/>
      <family val="2"/>
    </font>
    <font>
      <b/>
      <sz val="11"/>
      <color theme="3"/>
      <name val="Arial Greek"/>
      <family val="2"/>
    </font>
    <font>
      <sz val="10"/>
      <color rgb="FF9C0006"/>
      <name val="Arial Greek"/>
      <family val="2"/>
    </font>
    <font>
      <sz val="10"/>
      <color rgb="FF006100"/>
      <name val="Arial Greek"/>
      <family val="2"/>
    </font>
    <font>
      <sz val="10"/>
      <color rgb="FF9C6500"/>
      <name val="Arial Greek"/>
      <family val="2"/>
    </font>
    <font>
      <sz val="10"/>
      <color rgb="FFFF0000"/>
      <name val="Arial Greek"/>
      <family val="2"/>
    </font>
    <font>
      <sz val="10"/>
      <color rgb="FFFA7D00"/>
      <name val="Arial Greek"/>
      <family val="2"/>
    </font>
    <font>
      <b/>
      <sz val="10"/>
      <color theme="1"/>
      <name val="Arial Greek"/>
      <family val="2"/>
    </font>
    <font>
      <b/>
      <sz val="18"/>
      <color theme="3"/>
      <name val="Cambria"/>
      <family val="2"/>
    </font>
    <font>
      <b/>
      <sz val="10"/>
      <color rgb="FFFA7D00"/>
      <name val="Arial Gree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355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8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176" fontId="4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176" fontId="4" fillId="33" borderId="10" xfId="0" applyNumberFormat="1" applyFont="1" applyFill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2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2" fontId="4" fillId="0" borderId="12" xfId="0" applyNumberFormat="1" applyFont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4" fillId="0" borderId="21" xfId="0" applyFont="1" applyBorder="1" applyAlignment="1">
      <alignment horizontal="left"/>
    </xf>
    <xf numFmtId="176" fontId="4" fillId="33" borderId="10" xfId="0" applyNumberFormat="1" applyFont="1" applyFill="1" applyBorder="1" applyAlignment="1">
      <alignment/>
    </xf>
    <xf numFmtId="176" fontId="4" fillId="0" borderId="12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8" fillId="33" borderId="13" xfId="0" applyFont="1" applyFill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6" fontId="4" fillId="0" borderId="19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/>
    </xf>
    <xf numFmtId="191" fontId="4" fillId="0" borderId="10" xfId="0" applyNumberFormat="1" applyFont="1" applyBorder="1" applyAlignment="1">
      <alignment/>
    </xf>
    <xf numFmtId="0" fontId="4" fillId="33" borderId="15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10" fillId="33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33" borderId="14" xfId="0" applyFont="1" applyFill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176" fontId="4" fillId="0" borderId="13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33" borderId="21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8" fillId="0" borderId="0" xfId="0" applyFont="1" applyAlignment="1">
      <alignment vertical="center"/>
    </xf>
    <xf numFmtId="2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7" fontId="4" fillId="0" borderId="29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77" fontId="4" fillId="0" borderId="31" xfId="0" applyNumberFormat="1" applyFont="1" applyBorder="1" applyAlignment="1">
      <alignment horizontal="center"/>
    </xf>
    <xf numFmtId="177" fontId="4" fillId="33" borderId="32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2" fontId="4" fillId="0" borderId="19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 horizontal="right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76" fontId="4" fillId="0" borderId="14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>
      <alignment horizontal="center"/>
    </xf>
    <xf numFmtId="193" fontId="8" fillId="0" borderId="13" xfId="0" applyNumberFormat="1" applyFont="1" applyBorder="1" applyAlignment="1">
      <alignment horizontal="center"/>
    </xf>
    <xf numFmtId="195" fontId="8" fillId="0" borderId="10" xfId="0" applyNumberFormat="1" applyFont="1" applyBorder="1" applyAlignment="1">
      <alignment horizontal="center"/>
    </xf>
    <xf numFmtId="176" fontId="4" fillId="0" borderId="12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176" fontId="4" fillId="0" borderId="37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176" fontId="4" fillId="0" borderId="12" xfId="0" applyNumberFormat="1" applyFont="1" applyFill="1" applyBorder="1" applyAlignment="1">
      <alignment horizontal="right"/>
    </xf>
    <xf numFmtId="176" fontId="4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176" fontId="4" fillId="0" borderId="18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7" fontId="4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176" fontId="4" fillId="0" borderId="14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8" fillId="0" borderId="16" xfId="0" applyNumberFormat="1" applyFont="1" applyBorder="1" applyAlignment="1">
      <alignment horizontal="center"/>
    </xf>
    <xf numFmtId="176" fontId="8" fillId="0" borderId="15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2" fontId="8" fillId="0" borderId="2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8" fillId="0" borderId="20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2" fontId="0" fillId="0" borderId="10" xfId="0" applyNumberFormat="1" applyBorder="1" applyAlignment="1">
      <alignment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8" fillId="33" borderId="13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176" fontId="4" fillId="33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right"/>
    </xf>
    <xf numFmtId="176" fontId="4" fillId="33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33" borderId="14" xfId="0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4" fillId="0" borderId="22" xfId="0" applyFont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left"/>
    </xf>
    <xf numFmtId="176" fontId="4" fillId="0" borderId="23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176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176" fontId="8" fillId="0" borderId="10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left"/>
    </xf>
    <xf numFmtId="176" fontId="4" fillId="0" borderId="11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left"/>
    </xf>
    <xf numFmtId="176" fontId="4" fillId="0" borderId="20" xfId="0" applyNumberFormat="1" applyFont="1" applyBorder="1" applyAlignment="1">
      <alignment horizontal="center"/>
    </xf>
    <xf numFmtId="191" fontId="4" fillId="0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3" borderId="11" xfId="0" applyFont="1" applyFill="1" applyBorder="1" applyAlignment="1">
      <alignment horizontal="right"/>
    </xf>
    <xf numFmtId="176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176" fontId="4" fillId="33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2" fontId="4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3" fontId="4" fillId="35" borderId="10" xfId="0" applyNumberFormat="1" applyFont="1" applyFill="1" applyBorder="1" applyAlignment="1" applyProtection="1">
      <alignment horizontal="center"/>
      <protection locked="0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9" xfId="0" applyNumberFormat="1" applyFill="1" applyBorder="1" applyAlignment="1" applyProtection="1">
      <alignment horizontal="center"/>
      <protection locked="0"/>
    </xf>
    <xf numFmtId="2" fontId="8" fillId="35" borderId="10" xfId="0" applyNumberFormat="1" applyFont="1" applyFill="1" applyBorder="1" applyAlignment="1" applyProtection="1">
      <alignment horizontal="center"/>
      <protection locked="0"/>
    </xf>
    <xf numFmtId="2" fontId="4" fillId="35" borderId="13" xfId="0" applyNumberFormat="1" applyFont="1" applyFill="1" applyBorder="1" applyAlignment="1" applyProtection="1">
      <alignment horizontal="center"/>
      <protection locked="0"/>
    </xf>
    <xf numFmtId="176" fontId="4" fillId="35" borderId="13" xfId="0" applyNumberFormat="1" applyFont="1" applyFill="1" applyBorder="1" applyAlignment="1" applyProtection="1">
      <alignment horizontal="center"/>
      <protection locked="0"/>
    </xf>
    <xf numFmtId="176" fontId="4" fillId="35" borderId="10" xfId="0" applyNumberFormat="1" applyFont="1" applyFill="1" applyBorder="1" applyAlignment="1" applyProtection="1">
      <alignment horizontal="center"/>
      <protection locked="0"/>
    </xf>
    <xf numFmtId="2" fontId="4" fillId="35" borderId="15" xfId="0" applyNumberFormat="1" applyFont="1" applyFill="1" applyBorder="1" applyAlignment="1" applyProtection="1">
      <alignment horizontal="center"/>
      <protection locked="0"/>
    </xf>
    <xf numFmtId="2" fontId="0" fillId="35" borderId="10" xfId="0" applyNumberForma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975"/>
          <c:w val="0.909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OΠΛ. ΣKYP.'!$A$445:$A$458</c:f>
              <c:numCache/>
            </c:numRef>
          </c:cat>
          <c:val>
            <c:numRef>
              <c:f>'TOIXOΣ OΠΛ. ΣKYP.'!$C$445:$C$458</c:f>
              <c:numCache/>
            </c:numRef>
          </c:val>
        </c:ser>
        <c:overlap val="30"/>
        <c:gapWidth val="30"/>
        <c:axId val="43221384"/>
        <c:axId val="53448137"/>
      </c:barChart>
      <c:catAx>
        <c:axId val="432213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48137"/>
        <c:crosses val="autoZero"/>
        <c:auto val="1"/>
        <c:lblOffset val="100"/>
        <c:tickLblSkip val="2"/>
        <c:noMultiLvlLbl val="0"/>
      </c:catAx>
      <c:valAx>
        <c:axId val="5344813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21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65"/>
          <c:w val="0.90975"/>
          <c:h val="0.84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ΠINAKEΣ!$I$21:$J$21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ΠINAKEΣ!$I$22:$J$22</c:f>
              <c:numCache>
                <c:ptCount val="2"/>
                <c:pt idx="0">
                  <c:v>0</c:v>
                </c:pt>
                <c:pt idx="1">
                  <c:v>0.10167391485692225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ΠINAKEΣ!$K$21:$L$21</c:f>
              <c:numCache>
                <c:ptCount val="2"/>
                <c:pt idx="0">
                  <c:v>0</c:v>
                </c:pt>
                <c:pt idx="1">
                  <c:v>2.4000000000000004</c:v>
                </c:pt>
              </c:numCache>
            </c:numRef>
          </c:xVal>
          <c:yVal>
            <c:numRef>
              <c:f>ΠINAKEΣ!$K$22:$L$22</c:f>
              <c:numCache>
                <c:ptCount val="2"/>
                <c:pt idx="0">
                  <c:v>0.10167391485692225</c:v>
                </c:pt>
                <c:pt idx="1">
                  <c:v>0.04935194942116407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ΠINAKEΣ!$M$21:$N$21</c:f>
              <c:numCache>
                <c:ptCount val="2"/>
                <c:pt idx="0">
                  <c:v>2.4000000000000004</c:v>
                </c:pt>
                <c:pt idx="1">
                  <c:v>2.4000000000000004</c:v>
                </c:pt>
              </c:numCache>
            </c:numRef>
          </c:xVal>
          <c:yVal>
            <c:numRef>
              <c:f>ΠINAKEΣ!$M$22:$N$22</c:f>
              <c:numCache>
                <c:ptCount val="2"/>
                <c:pt idx="0">
                  <c:v>0.04935194942116407</c:v>
                </c:pt>
                <c:pt idx="1">
                  <c:v>0</c:v>
                </c:pt>
              </c:numCache>
            </c:numRef>
          </c:yVal>
          <c:smooth val="0"/>
        </c:ser>
        <c:axId val="1452258"/>
        <c:axId val="13070323"/>
      </c:scatterChart>
      <c:valAx>
        <c:axId val="1452258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 val="autoZero"/>
        <c:crossBetween val="midCat"/>
        <c:dispUnits/>
      </c:valAx>
      <c:valAx>
        <c:axId val="13070323"/>
        <c:scaling>
          <c:orientation val="maxMin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22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8325"/>
          <c:w val="0.9097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ΠINAKEΣ!$B$36:$C$36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ΠINAKEΣ!$B$37:$C$37</c:f>
              <c:numCache>
                <c:ptCount val="2"/>
                <c:pt idx="0">
                  <c:v>0</c:v>
                </c:pt>
                <c:pt idx="1">
                  <c:v>0.13887205857325277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ΠINAKEΣ!$D$36:$E$36</c:f>
              <c:numCache>
                <c:ptCount val="2"/>
                <c:pt idx="0">
                  <c:v>0</c:v>
                </c:pt>
                <c:pt idx="1">
                  <c:v>2.4000000000000004</c:v>
                </c:pt>
              </c:numCache>
            </c:numRef>
          </c:xVal>
          <c:yVal>
            <c:numRef>
              <c:f>ΠINAKEΣ!$D$37:$E$37</c:f>
              <c:numCache>
                <c:ptCount val="2"/>
                <c:pt idx="0">
                  <c:v>0.13887205857325277</c:v>
                </c:pt>
                <c:pt idx="1">
                  <c:v>-0.02638721939917888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ΠINAKEΣ!$F$36:$G$36</c:f>
              <c:numCache>
                <c:ptCount val="2"/>
                <c:pt idx="0">
                  <c:v>2.4000000000000004</c:v>
                </c:pt>
                <c:pt idx="1">
                  <c:v>2.4000000000000004</c:v>
                </c:pt>
              </c:numCache>
            </c:numRef>
          </c:xVal>
          <c:yVal>
            <c:numRef>
              <c:f>ΠINAKEΣ!$F$37:$G$37</c:f>
              <c:numCache>
                <c:ptCount val="2"/>
                <c:pt idx="0">
                  <c:v>-0.02638721939917888</c:v>
                </c:pt>
                <c:pt idx="1">
                  <c:v>0</c:v>
                </c:pt>
              </c:numCache>
            </c:numRef>
          </c:yVal>
          <c:smooth val="0"/>
        </c:ser>
        <c:axId val="50524044"/>
        <c:axId val="52063213"/>
      </c:scatterChart>
      <c:valAx>
        <c:axId val="505240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63213"/>
        <c:crosses val="autoZero"/>
        <c:crossBetween val="midCat"/>
        <c:dispUnits/>
      </c:valAx>
      <c:valAx>
        <c:axId val="52063213"/>
        <c:scaling>
          <c:orientation val="maxMin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24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8"/>
          <c:w val="0.92825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ΠINAKEΣ!$B$52:$C$52</c:f>
              <c:numCache>
                <c:ptCount val="2"/>
                <c:pt idx="0">
                  <c:v>0</c:v>
                </c:pt>
                <c:pt idx="1">
                  <c:v>0.10167391485692225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ΠINAKEΣ!$D$51:$E$51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ΠINAKEΣ!$D$52:$E$52</c:f>
              <c:numCache>
                <c:ptCount val="2"/>
                <c:pt idx="0">
                  <c:v>0.10167391485692225</c:v>
                </c:pt>
                <c:pt idx="1">
                  <c:v>0.09077350539113929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ΠINAKEΣ!$F$51:$G$51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ΠINAKEΣ!$F$52:$G$52</c:f>
              <c:numCache>
                <c:ptCount val="2"/>
                <c:pt idx="0">
                  <c:v>0.09077350539113929</c:v>
                </c:pt>
                <c:pt idx="1">
                  <c:v>0</c:v>
                </c:pt>
              </c:numCache>
            </c:numRef>
          </c:yVal>
          <c:smooth val="0"/>
        </c:ser>
        <c:axId val="65915734"/>
        <c:axId val="56370695"/>
      </c:scatterChart>
      <c:valAx>
        <c:axId val="659157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695"/>
        <c:crosses val="autoZero"/>
        <c:crossBetween val="midCat"/>
        <c:dispUnits/>
      </c:valAx>
      <c:valAx>
        <c:axId val="56370695"/>
        <c:scaling>
          <c:orientation val="maxMin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5734"/>
        <c:crosses val="autoZero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8"/>
          <c:w val="0.92825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ΠINAKEΣ!$I$51:$J$51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ΠINAKEΣ!$I$52:$J$52</c:f>
              <c:numCache>
                <c:ptCount val="2"/>
                <c:pt idx="0">
                  <c:v>0</c:v>
                </c:pt>
                <c:pt idx="1">
                  <c:v>0.0842332597116695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ΠINAKEΣ!$K$51:$L$51</c:f>
              <c:numCache>
                <c:ptCount val="2"/>
                <c:pt idx="0">
                  <c:v>0</c:v>
                </c:pt>
                <c:pt idx="1">
                  <c:v>1.6</c:v>
                </c:pt>
              </c:numCache>
            </c:numRef>
          </c:xVal>
          <c:yVal>
            <c:numRef>
              <c:f>ΠINAKEΣ!$K$52:$L$52</c:f>
              <c:numCache>
                <c:ptCount val="2"/>
                <c:pt idx="0">
                  <c:v>0.0842332597116695</c:v>
                </c:pt>
                <c:pt idx="1">
                  <c:v>0.04935194942116407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ΠINAKEΣ!$M$51:$N$51</c:f>
              <c:numCache>
                <c:ptCount val="2"/>
                <c:pt idx="0">
                  <c:v>1.6</c:v>
                </c:pt>
                <c:pt idx="1">
                  <c:v>1.6</c:v>
                </c:pt>
              </c:numCache>
            </c:numRef>
          </c:xVal>
          <c:yVal>
            <c:numRef>
              <c:f>ΠINAKEΣ!$M$52:$N$52</c:f>
              <c:numCache>
                <c:ptCount val="2"/>
                <c:pt idx="0">
                  <c:v>0.04935194942116407</c:v>
                </c:pt>
                <c:pt idx="1">
                  <c:v>0</c:v>
                </c:pt>
              </c:numCache>
            </c:numRef>
          </c:yVal>
          <c:smooth val="0"/>
        </c:ser>
        <c:axId val="37574208"/>
        <c:axId val="2623553"/>
      </c:scatterChart>
      <c:valAx>
        <c:axId val="3757420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3553"/>
        <c:crosses val="autoZero"/>
        <c:crossBetween val="midCat"/>
        <c:dispUnits/>
      </c:valAx>
      <c:valAx>
        <c:axId val="2623553"/>
        <c:scaling>
          <c:orientation val="maxMin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74208"/>
        <c:crosses val="autoZero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8"/>
          <c:w val="0.92825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ΠINAKEΣ!$B$66:$C$66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ΠINAKEΣ!$B$67:$C$67</c:f>
              <c:numCache>
                <c:ptCount val="2"/>
                <c:pt idx="0">
                  <c:v>0</c:v>
                </c:pt>
                <c:pt idx="1">
                  <c:v>0.13887205857325277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ΠINAKEΣ!$D$66:$E$66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ΠINAKEΣ!$D$67:$E$67</c:f>
              <c:numCache>
                <c:ptCount val="2"/>
                <c:pt idx="0">
                  <c:v>0.13887205857325277</c:v>
                </c:pt>
                <c:pt idx="1">
                  <c:v>0.10003375909628054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ΠINAKEΣ!$F$66:$G$66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ΠINAKEΣ!$F$67:$G$67</c:f>
              <c:numCache>
                <c:ptCount val="2"/>
                <c:pt idx="0">
                  <c:v>0.10003375909628054</c:v>
                </c:pt>
                <c:pt idx="1">
                  <c:v>0</c:v>
                </c:pt>
              </c:numCache>
            </c:numRef>
          </c:yVal>
          <c:smooth val="0"/>
        </c:ser>
        <c:axId val="23611978"/>
        <c:axId val="11181211"/>
      </c:scatterChart>
      <c:valAx>
        <c:axId val="23611978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81211"/>
        <c:crosses val="autoZero"/>
        <c:crossBetween val="midCat"/>
        <c:dispUnits/>
      </c:valAx>
      <c:valAx>
        <c:axId val="11181211"/>
        <c:scaling>
          <c:orientation val="maxMin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19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8"/>
          <c:w val="0.92825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ΠINAKEΣ!$I$66:$J$66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ΠINAKEΣ!$I$67:$J$67</c:f>
              <c:numCache>
                <c:ptCount val="2"/>
                <c:pt idx="0">
                  <c:v>0</c:v>
                </c:pt>
                <c:pt idx="1">
                  <c:v>0.07673077941009718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ΠINAKEΣ!$K$66:$L$66</c:f>
              <c:numCache>
                <c:ptCount val="2"/>
                <c:pt idx="0">
                  <c:v>0</c:v>
                </c:pt>
                <c:pt idx="1">
                  <c:v>1.6</c:v>
                </c:pt>
              </c:numCache>
            </c:numRef>
          </c:xVal>
          <c:yVal>
            <c:numRef>
              <c:f>ΠINAKEΣ!$K$67:$L$67</c:f>
              <c:numCache>
                <c:ptCount val="2"/>
                <c:pt idx="0">
                  <c:v>0.07673077941009718</c:v>
                </c:pt>
                <c:pt idx="1">
                  <c:v>-0.02638721939917888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ΠINAKEΣ!$M$66:$N$66</c:f>
              <c:numCache>
                <c:ptCount val="2"/>
                <c:pt idx="0">
                  <c:v>1.6</c:v>
                </c:pt>
                <c:pt idx="1">
                  <c:v>1.6</c:v>
                </c:pt>
              </c:numCache>
            </c:numRef>
          </c:xVal>
          <c:yVal>
            <c:numRef>
              <c:f>ΠINAKEΣ!$M$67:$N$67</c:f>
              <c:numCache>
                <c:ptCount val="2"/>
                <c:pt idx="0">
                  <c:v>-0.02638721939917888</c:v>
                </c:pt>
                <c:pt idx="1">
                  <c:v>0</c:v>
                </c:pt>
              </c:numCache>
            </c:numRef>
          </c:yVal>
          <c:smooth val="0"/>
        </c:ser>
        <c:axId val="33522036"/>
        <c:axId val="33262869"/>
      </c:scatterChart>
      <c:valAx>
        <c:axId val="33522036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869"/>
        <c:crosses val="autoZero"/>
        <c:crossBetween val="midCat"/>
        <c:dispUnits/>
      </c:valAx>
      <c:valAx>
        <c:axId val="33262869"/>
        <c:scaling>
          <c:orientation val="maxMin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036"/>
        <c:crosses val="autoZero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975"/>
          <c:w val="0.952"/>
          <c:h val="0.96175"/>
        </c:manualLayout>
      </c:layout>
      <c:scatterChart>
        <c:scatterStyle val="lineMarker"/>
        <c:varyColors val="0"/>
        <c:ser>
          <c:idx val="1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ΠINAKEΣ!$A$3:$B$3</c:f>
              <c:numCache>
                <c:ptCount val="2"/>
                <c:pt idx="0">
                  <c:v>0.8</c:v>
                </c:pt>
                <c:pt idx="1">
                  <c:v>0.6000000000000001</c:v>
                </c:pt>
              </c:numCache>
            </c:numRef>
          </c:xVal>
          <c:yVal>
            <c:numRef>
              <c:f>ΠINAKEΣ!$A$4:$B$4</c:f>
              <c:numCache>
                <c:ptCount val="2"/>
                <c:pt idx="0">
                  <c:v>3.3</c:v>
                </c:pt>
                <c:pt idx="1">
                  <c:v>3.3</c:v>
                </c:pt>
              </c:numCache>
            </c:numRef>
          </c:yVal>
          <c:smooth val="0"/>
        </c:ser>
        <c:ser>
          <c:idx val="13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ΠINAKEΣ!$C$3:$D$3</c:f>
              <c:numCache>
                <c:ptCount val="2"/>
                <c:pt idx="0">
                  <c:v>0.6000000000000001</c:v>
                </c:pt>
                <c:pt idx="1">
                  <c:v>0.5</c:v>
                </c:pt>
              </c:numCache>
            </c:numRef>
          </c:xVal>
          <c:yVal>
            <c:numRef>
              <c:f>ΠINAKEΣ!$C$4:$D$4</c:f>
              <c:numCache>
                <c:ptCount val="2"/>
                <c:pt idx="0">
                  <c:v>3.3</c:v>
                </c:pt>
                <c:pt idx="1">
                  <c:v>0.35</c:v>
                </c:pt>
              </c:numCache>
            </c:numRef>
          </c:yVal>
          <c:smooth val="0"/>
        </c:ser>
        <c:ser>
          <c:idx val="14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ΠINAKEΣ!$E$3:$F$3</c:f>
              <c:numCach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xVal>
          <c:yVal>
            <c:numRef>
              <c:f>ΠINAKEΣ!$E$4:$F$4</c:f>
              <c:numCache>
                <c:ptCount val="2"/>
                <c:pt idx="0">
                  <c:v>0.35</c:v>
                </c:pt>
                <c:pt idx="1">
                  <c:v>0.25</c:v>
                </c:pt>
              </c:numCache>
            </c:numRef>
          </c:yVal>
          <c:smooth val="0"/>
        </c:ser>
        <c:ser>
          <c:idx val="1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ΠINAKEΣ!$I$3:$J$3</c:f>
              <c:numCache>
                <c:ptCount val="2"/>
                <c:pt idx="0">
                  <c:v>0</c:v>
                </c:pt>
                <c:pt idx="1">
                  <c:v>2.4000000000000004</c:v>
                </c:pt>
              </c:numCache>
            </c:numRef>
          </c:xVal>
          <c:yVal>
            <c:numRef>
              <c:f>ΠINAKEΣ!$I$4:$J$4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ΠINAKEΣ!$K$3:$L$3</c:f>
              <c:numCache>
                <c:ptCount val="2"/>
                <c:pt idx="0">
                  <c:v>2.4000000000000004</c:v>
                </c:pt>
                <c:pt idx="1">
                  <c:v>2.4000000000000004</c:v>
                </c:pt>
              </c:numCache>
            </c:numRef>
          </c:xVal>
          <c:yVal>
            <c:numRef>
              <c:f>ΠINAKEΣ!$K$4:$L$4</c:f>
              <c:numCach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yVal>
          <c:smooth val="0"/>
        </c:ser>
        <c:ser>
          <c:idx val="18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ΠINAKEΣ!$M$3:$N$3</c:f>
              <c:numCache>
                <c:ptCount val="2"/>
                <c:pt idx="0">
                  <c:v>2.4000000000000004</c:v>
                </c:pt>
                <c:pt idx="1">
                  <c:v>0.8</c:v>
                </c:pt>
              </c:numCache>
            </c:numRef>
          </c:xVal>
          <c:yVal>
            <c:numRef>
              <c:f>ΠINAKEΣ!$M$4:$N$4</c:f>
              <c:numCache>
                <c:ptCount val="2"/>
                <c:pt idx="0">
                  <c:v>0.25</c:v>
                </c:pt>
                <c:pt idx="1">
                  <c:v>0.35</c:v>
                </c:pt>
              </c:numCache>
            </c:numRef>
          </c:yVal>
          <c:smooth val="0"/>
        </c:ser>
        <c:ser>
          <c:idx val="19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ΠINAKEΣ!$O$3:$P$3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xVal>
          <c:yVal>
            <c:numRef>
              <c:f>ΠINAKEΣ!$O$4:$P$4</c:f>
              <c:numCache>
                <c:ptCount val="2"/>
                <c:pt idx="0">
                  <c:v>0.35</c:v>
                </c:pt>
                <c:pt idx="1">
                  <c:v>3.3</c:v>
                </c:pt>
              </c:numCache>
            </c:numRef>
          </c:yVal>
          <c:smooth val="0"/>
        </c:ser>
        <c:ser>
          <c:idx val="23"/>
          <c:order val="7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ΠINAKEΣ!$S$6:$T$6</c:f>
              <c:numCache>
                <c:ptCount val="2"/>
                <c:pt idx="0">
                  <c:v>0</c:v>
                </c:pt>
                <c:pt idx="1">
                  <c:v>0.5094915254237288</c:v>
                </c:pt>
              </c:numCache>
            </c:numRef>
          </c:xVal>
          <c:yVal>
            <c:numRef>
              <c:f>ΠINAKEΣ!$S$7:$T$7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24"/>
          <c:order val="8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ΠINAKEΣ!$H$186:$I$186</c:f>
              <c:numCache>
                <c:ptCount val="2"/>
                <c:pt idx="0">
                  <c:v>0.6749999999999999</c:v>
                </c:pt>
                <c:pt idx="1">
                  <c:v>0.563135593220339</c:v>
                </c:pt>
              </c:numCache>
            </c:numRef>
          </c:xVal>
          <c:yVal>
            <c:numRef>
              <c:f>ΠINAKEΣ!$H$187:$I$187</c:f>
              <c:numCache>
                <c:ptCount val="2"/>
                <c:pt idx="0">
                  <c:v>3.2249999999999996</c:v>
                </c:pt>
                <c:pt idx="1">
                  <c:v>0.15</c:v>
                </c:pt>
              </c:numCache>
            </c:numRef>
          </c:yVal>
          <c:smooth val="0"/>
        </c:ser>
        <c:ser>
          <c:idx val="25"/>
          <c:order val="9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ΠINAKEΣ!$J$186:$K$186</c:f>
              <c:numCache>
                <c:ptCount val="2"/>
                <c:pt idx="0">
                  <c:v>0.563135593220339</c:v>
                </c:pt>
                <c:pt idx="1">
                  <c:v>0.8</c:v>
                </c:pt>
              </c:numCache>
            </c:numRef>
          </c:xVal>
          <c:yVal>
            <c:numRef>
              <c:f>ΠINAKEΣ!$J$187:$K$187</c:f>
              <c:numCache>
                <c:ptCount val="2"/>
                <c:pt idx="0">
                  <c:v>0.15</c:v>
                </c:pt>
                <c:pt idx="1">
                  <c:v>0.15</c:v>
                </c:pt>
              </c:numCache>
            </c:numRef>
          </c:yVal>
          <c:smooth val="0"/>
        </c:ser>
        <c:ser>
          <c:idx val="26"/>
          <c:order val="1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ΠINAKEΣ!$L$186:$M$186</c:f>
              <c:numCache>
                <c:ptCount val="2"/>
                <c:pt idx="0">
                  <c:v>0.6749999999999999</c:v>
                </c:pt>
                <c:pt idx="1">
                  <c:v>0.7949999999999999</c:v>
                </c:pt>
              </c:numCache>
            </c:numRef>
          </c:xVal>
          <c:yVal>
            <c:numRef>
              <c:f>ΠINAKEΣ!$L$187:$M$187</c:f>
              <c:numCache>
                <c:ptCount val="2"/>
                <c:pt idx="0">
                  <c:v>3.2249999999999996</c:v>
                </c:pt>
                <c:pt idx="1">
                  <c:v>3.2249999999999996</c:v>
                </c:pt>
              </c:numCache>
            </c:numRef>
          </c:yVal>
          <c:smooth val="0"/>
        </c:ser>
        <c:ser>
          <c:idx val="0"/>
          <c:order val="1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ΠINAKEΣ!$A$192:$B$192</c:f>
              <c:numCache>
                <c:ptCount val="2"/>
                <c:pt idx="0">
                  <c:v>0.7250000000000001</c:v>
                </c:pt>
                <c:pt idx="1">
                  <c:v>0.7250000000000001</c:v>
                </c:pt>
              </c:numCache>
            </c:numRef>
          </c:xVal>
          <c:yVal>
            <c:numRef>
              <c:f>ΠINAKEΣ!$A$193:$B$193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yVal>
          <c:smooth val="0"/>
        </c:ser>
        <c:ser>
          <c:idx val="1"/>
          <c:order val="1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ΠINAKEΣ!$C$192:$D$192</c:f>
              <c:numCache>
                <c:ptCount val="2"/>
                <c:pt idx="0">
                  <c:v>0.7250000000000001</c:v>
                </c:pt>
                <c:pt idx="1">
                  <c:v>0.7250000000000001</c:v>
                </c:pt>
              </c:numCache>
            </c:numRef>
          </c:xVal>
          <c:yVal>
            <c:numRef>
              <c:f>ΠINAKEΣ!$C$193:$D$193</c:f>
              <c:numCache>
                <c:ptCount val="2"/>
                <c:pt idx="0">
                  <c:v>0.1</c:v>
                </c:pt>
                <c:pt idx="1">
                  <c:v>3.175</c:v>
                </c:pt>
              </c:numCache>
            </c:numRef>
          </c:yVal>
          <c:smooth val="0"/>
        </c:ser>
        <c:ser>
          <c:idx val="2"/>
          <c:order val="13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ΠINAKEΣ!$E$192:$F$192</c:f>
              <c:numCache>
                <c:ptCount val="2"/>
                <c:pt idx="0">
                  <c:v>0.7250000000000001</c:v>
                </c:pt>
                <c:pt idx="1">
                  <c:v>0.5250000000000001</c:v>
                </c:pt>
              </c:numCache>
            </c:numRef>
          </c:xVal>
          <c:yVal>
            <c:numRef>
              <c:f>ΠINAKEΣ!$E$193:$F$193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</c:ser>
        <c:ser>
          <c:idx val="3"/>
          <c:order val="14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ΠINAKEΣ!$G$192:$H$192</c:f>
              <c:numCache>
                <c:ptCount val="2"/>
                <c:pt idx="0">
                  <c:v>0.7250000000000001</c:v>
                </c:pt>
                <c:pt idx="1">
                  <c:v>0.6050000000000001</c:v>
                </c:pt>
              </c:numCache>
            </c:numRef>
          </c:xVal>
          <c:yVal>
            <c:numRef>
              <c:f>ΠINAKEΣ!$G$193:$H$193</c:f>
              <c:numCache>
                <c:ptCount val="2"/>
                <c:pt idx="0">
                  <c:v>3.175</c:v>
                </c:pt>
                <c:pt idx="1">
                  <c:v>3.175</c:v>
                </c:pt>
              </c:numCache>
            </c:numRef>
          </c:yVal>
          <c:smooth val="0"/>
        </c:ser>
        <c:ser>
          <c:idx val="4"/>
          <c:order val="15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ΠINAKEΣ!$A$195:$B$195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ΠINAKEΣ!$A$196:$B$196</c:f>
              <c:numCache>
                <c:ptCount val="2"/>
                <c:pt idx="0">
                  <c:v>0.1</c:v>
                </c:pt>
                <c:pt idx="1">
                  <c:v>0.075</c:v>
                </c:pt>
              </c:numCache>
            </c:numRef>
          </c:yVal>
          <c:smooth val="0"/>
        </c:ser>
        <c:ser>
          <c:idx val="5"/>
          <c:order val="16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ΠINAKEΣ!$C$195:$D$195</c:f>
              <c:numCache>
                <c:ptCount val="2"/>
                <c:pt idx="0">
                  <c:v>0.075</c:v>
                </c:pt>
                <c:pt idx="1">
                  <c:v>2.325</c:v>
                </c:pt>
              </c:numCache>
            </c:numRef>
          </c:xVal>
          <c:yVal>
            <c:numRef>
              <c:f>ΠINAKEΣ!$C$196:$D$196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yVal>
          <c:smooth val="0"/>
        </c:ser>
        <c:ser>
          <c:idx val="6"/>
          <c:order val="17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ΠINAKEΣ!$E$195:$F$195</c:f>
              <c:numCache>
                <c:ptCount val="2"/>
                <c:pt idx="0">
                  <c:v>2.325</c:v>
                </c:pt>
                <c:pt idx="1">
                  <c:v>2.325</c:v>
                </c:pt>
              </c:numCache>
            </c:numRef>
          </c:xVal>
          <c:yVal>
            <c:numRef>
              <c:f>ΠINAKEΣ!$E$196:$F$196</c:f>
              <c:numCache>
                <c:ptCount val="2"/>
                <c:pt idx="0">
                  <c:v>0.075</c:v>
                </c:pt>
                <c:pt idx="1">
                  <c:v>0.1</c:v>
                </c:pt>
              </c:numCache>
            </c:numRef>
          </c:yVal>
          <c:smooth val="0"/>
        </c:ser>
        <c:ser>
          <c:idx val="7"/>
          <c:order val="18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ΠINAKEΣ!$A$189:$B$189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ΠINAKEΣ!$A$190:$B$190</c:f>
              <c:numCache>
                <c:ptCount val="2"/>
                <c:pt idx="0">
                  <c:v>0.15</c:v>
                </c:pt>
                <c:pt idx="1">
                  <c:v>0.175</c:v>
                </c:pt>
              </c:numCache>
            </c:numRef>
          </c:yVal>
          <c:smooth val="0"/>
        </c:ser>
        <c:ser>
          <c:idx val="8"/>
          <c:order val="19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ΠINAKEΣ!$C$189:$D$189</c:f>
              <c:numCache>
                <c:ptCount val="2"/>
                <c:pt idx="0">
                  <c:v>0.075</c:v>
                </c:pt>
                <c:pt idx="1">
                  <c:v>0.5</c:v>
                </c:pt>
              </c:numCache>
            </c:numRef>
          </c:xVal>
          <c:yVal>
            <c:numRef>
              <c:f>ΠINAKEΣ!$C$190:$D$190</c:f>
              <c:numCache>
                <c:ptCount val="2"/>
                <c:pt idx="0">
                  <c:v>0.175</c:v>
                </c:pt>
                <c:pt idx="1">
                  <c:v>0.27499999999999997</c:v>
                </c:pt>
              </c:numCache>
            </c:numRef>
          </c:yVal>
          <c:smooth val="0"/>
        </c:ser>
        <c:ser>
          <c:idx val="9"/>
          <c:order val="2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ΠINAKEΣ!$E$189:$F$189</c:f>
              <c:numCache>
                <c:ptCount val="2"/>
                <c:pt idx="0">
                  <c:v>0.5</c:v>
                </c:pt>
                <c:pt idx="1">
                  <c:v>0.7250000000000001</c:v>
                </c:pt>
              </c:numCache>
            </c:numRef>
          </c:xVal>
          <c:yVal>
            <c:numRef>
              <c:f>ΠINAKEΣ!$E$190:$F$190</c:f>
              <c:numCache>
                <c:ptCount val="2"/>
                <c:pt idx="0">
                  <c:v>0.27499999999999997</c:v>
                </c:pt>
                <c:pt idx="1">
                  <c:v>0.27499999999999997</c:v>
                </c:pt>
              </c:numCache>
            </c:numRef>
          </c:yVal>
          <c:smooth val="0"/>
        </c:ser>
        <c:ser>
          <c:idx val="10"/>
          <c:order val="2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ΠINAKEΣ!$G$189:$H$189</c:f>
              <c:numCache>
                <c:ptCount val="2"/>
                <c:pt idx="0">
                  <c:v>0.7250000000000001</c:v>
                </c:pt>
                <c:pt idx="1">
                  <c:v>2.325</c:v>
                </c:pt>
              </c:numCache>
            </c:numRef>
          </c:xVal>
          <c:yVal>
            <c:numRef>
              <c:f>ΠINAKEΣ!$G$190:$H$190</c:f>
              <c:numCache>
                <c:ptCount val="2"/>
                <c:pt idx="0">
                  <c:v>0.27499999999999997</c:v>
                </c:pt>
                <c:pt idx="1">
                  <c:v>0.175</c:v>
                </c:pt>
              </c:numCache>
            </c:numRef>
          </c:yVal>
          <c:smooth val="0"/>
        </c:ser>
        <c:ser>
          <c:idx val="11"/>
          <c:order val="2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ΠINAKEΣ!$I$189:$J$189</c:f>
              <c:numCache>
                <c:ptCount val="2"/>
                <c:pt idx="0">
                  <c:v>2.325</c:v>
                </c:pt>
                <c:pt idx="1">
                  <c:v>2.325</c:v>
                </c:pt>
              </c:numCache>
            </c:numRef>
          </c:xVal>
          <c:yVal>
            <c:numRef>
              <c:f>ΠINAKEΣ!$I$190:$J$190</c:f>
              <c:numCache>
                <c:ptCount val="2"/>
                <c:pt idx="0">
                  <c:v>0.175</c:v>
                </c:pt>
                <c:pt idx="1">
                  <c:v>0.15</c:v>
                </c:pt>
              </c:numCache>
            </c:numRef>
          </c:yVal>
          <c:smooth val="0"/>
        </c:ser>
        <c:ser>
          <c:idx val="15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ΠINAKEΣ!$A$204:$E$204</c:f>
              <c:numCache>
                <c:ptCount val="5"/>
                <c:pt idx="0">
                  <c:v>0.5</c:v>
                </c:pt>
                <c:pt idx="1">
                  <c:v>0.7</c:v>
                </c:pt>
                <c:pt idx="2">
                  <c:v>0.8999999999999999</c:v>
                </c:pt>
                <c:pt idx="3">
                  <c:v>1.0999999999999999</c:v>
                </c:pt>
                <c:pt idx="4">
                  <c:v>1.2999999999999998</c:v>
                </c:pt>
              </c:numCache>
            </c:numRef>
          </c:xVal>
          <c:yVal>
            <c:numRef>
              <c:f>ΠINAKEΣ!$A$205:$E$205</c:f>
              <c:numCache>
                <c:ptCount val="5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</c:numCache>
            </c:numRef>
          </c:yVal>
          <c:smooth val="0"/>
        </c:ser>
        <c:ser>
          <c:idx val="0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ΠINAKEΣ!$A$198:$H$198</c:f>
              <c:numCache>
                <c:ptCount val="8"/>
                <c:pt idx="0">
                  <c:v>0.6875</c:v>
                </c:pt>
                <c:pt idx="1">
                  <c:v>0.6875</c:v>
                </c:pt>
                <c:pt idx="2">
                  <c:v>0.6875</c:v>
                </c:pt>
                <c:pt idx="3">
                  <c:v>0.6875</c:v>
                </c:pt>
                <c:pt idx="4">
                  <c:v>0.6875</c:v>
                </c:pt>
                <c:pt idx="5">
                  <c:v>0.6875</c:v>
                </c:pt>
                <c:pt idx="6">
                  <c:v>0.6875</c:v>
                </c:pt>
                <c:pt idx="7">
                  <c:v>0.6875</c:v>
                </c:pt>
              </c:numCache>
            </c:numRef>
          </c:xVal>
          <c:yVal>
            <c:numRef>
              <c:f>ΠINAKEΣ!$A$199:$H$199</c:f>
              <c:numCache>
                <c:ptCount val="8"/>
                <c:pt idx="0">
                  <c:v>0.5</c:v>
                </c:pt>
                <c:pt idx="1">
                  <c:v>0.7</c:v>
                </c:pt>
                <c:pt idx="2">
                  <c:v>0.8999999999999999</c:v>
                </c:pt>
                <c:pt idx="3">
                  <c:v>1.0999999999999999</c:v>
                </c:pt>
                <c:pt idx="4">
                  <c:v>1.2999999999999998</c:v>
                </c:pt>
                <c:pt idx="5">
                  <c:v>1.4999999999999998</c:v>
                </c:pt>
                <c:pt idx="6">
                  <c:v>1.6999999999999997</c:v>
                </c:pt>
                <c:pt idx="7">
                  <c:v>1.8999999999999997</c:v>
                </c:pt>
              </c:numCache>
            </c:numRef>
          </c:yVal>
          <c:smooth val="0"/>
        </c:ser>
        <c:ser>
          <c:idx val="0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ΠINAKEΣ!$A$201:$H$201</c:f>
              <c:numCache>
                <c:ptCount val="8"/>
                <c:pt idx="0">
                  <c:v>0.62</c:v>
                </c:pt>
                <c:pt idx="1">
                  <c:v>0.6200847457627119</c:v>
                </c:pt>
                <c:pt idx="2">
                  <c:v>0.626864406779661</c:v>
                </c:pt>
                <c:pt idx="3">
                  <c:v>0.6336440677966102</c:v>
                </c:pt>
                <c:pt idx="4">
                  <c:v>0.6404237288135594</c:v>
                </c:pt>
                <c:pt idx="5">
                  <c:v>0.6472033898305085</c:v>
                </c:pt>
                <c:pt idx="6">
                  <c:v>0.6539830508474577</c:v>
                </c:pt>
                <c:pt idx="7">
                  <c:v>0.6607627118644068</c:v>
                </c:pt>
              </c:numCache>
            </c:numRef>
          </c:xVal>
          <c:yVal>
            <c:numRef>
              <c:f>ΠINAKEΣ!$A$202:$H$202</c:f>
              <c:numCache>
                <c:ptCount val="8"/>
                <c:pt idx="0">
                  <c:v>0.5</c:v>
                </c:pt>
                <c:pt idx="1">
                  <c:v>0.7</c:v>
                </c:pt>
                <c:pt idx="2">
                  <c:v>0.8999999999999999</c:v>
                </c:pt>
                <c:pt idx="3">
                  <c:v>1.0999999999999999</c:v>
                </c:pt>
                <c:pt idx="4">
                  <c:v>1.2999999999999998</c:v>
                </c:pt>
                <c:pt idx="5">
                  <c:v>1.4999999999999998</c:v>
                </c:pt>
                <c:pt idx="6">
                  <c:v>1.6999999999999997</c:v>
                </c:pt>
                <c:pt idx="7">
                  <c:v>1.8999999999999997</c:v>
                </c:pt>
              </c:numCache>
            </c:numRef>
          </c:yVal>
          <c:smooth val="0"/>
        </c:ser>
        <c:ser>
          <c:idx val="20"/>
          <c:order val="26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ΠINAKEΣ!$E$3:$F$3</c:f>
              <c:numCach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xVal>
          <c:yVal>
            <c:numRef>
              <c:f>ΠINAKEΣ!$E$4:$F$4</c:f>
              <c:numCache>
                <c:ptCount val="2"/>
                <c:pt idx="0">
                  <c:v>0.35</c:v>
                </c:pt>
                <c:pt idx="1">
                  <c:v>0.25</c:v>
                </c:pt>
              </c:numCache>
            </c:numRef>
          </c:yVal>
          <c:smooth val="0"/>
        </c:ser>
        <c:ser>
          <c:idx val="21"/>
          <c:order val="2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ΠINAKEΣ!$G$3:$H$3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ΠINAKEΣ!$G$4:$H$4</c:f>
              <c:numCache>
                <c:ptCount val="2"/>
                <c:pt idx="0">
                  <c:v>0.25</c:v>
                </c:pt>
                <c:pt idx="1">
                  <c:v>0</c:v>
                </c:pt>
              </c:numCache>
            </c:numRef>
          </c:yVal>
          <c:smooth val="0"/>
        </c:ser>
        <c:axId val="30930366"/>
        <c:axId val="9937839"/>
      </c:scatterChart>
      <c:valAx>
        <c:axId val="3093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37839"/>
        <c:crosses val="autoZero"/>
        <c:crossBetween val="midCat"/>
        <c:dispUnits/>
      </c:valAx>
      <c:valAx>
        <c:axId val="99378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303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925"/>
          <c:w val="0.95525"/>
          <c:h val="0.9615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ΠINAKEΣ!$Q$3:$R$3</c:f>
              <c:numCache>
                <c:ptCount val="2"/>
                <c:pt idx="0">
                  <c:v>0.8</c:v>
                </c:pt>
                <c:pt idx="1">
                  <c:v>2.4000000000000004</c:v>
                </c:pt>
              </c:numCache>
            </c:numRef>
          </c:xVal>
          <c:yVal>
            <c:numRef>
              <c:f>ΠINAKEΣ!$Q$4:$R$4</c:f>
              <c:numCache>
                <c:ptCount val="2"/>
                <c:pt idx="0">
                  <c:v>3.3</c:v>
                </c:pt>
                <c:pt idx="1">
                  <c:v>3.468166776425082</c:v>
                </c:pt>
              </c:numCache>
            </c:numRef>
          </c:yVal>
          <c:smooth val="0"/>
        </c:ser>
        <c:ser>
          <c:idx val="9"/>
          <c:order val="1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ΠINAKEΣ!$S$3:$T$3</c:f>
              <c:numCache>
                <c:ptCount val="2"/>
                <c:pt idx="0">
                  <c:v>2.4000000000000004</c:v>
                </c:pt>
                <c:pt idx="1">
                  <c:v>2.4000000000000004</c:v>
                </c:pt>
              </c:numCache>
            </c:numRef>
          </c:xVal>
          <c:yVal>
            <c:numRef>
              <c:f>ΠINAKEΣ!$S$4:$T$4</c:f>
              <c:numCache>
                <c:ptCount val="2"/>
                <c:pt idx="0">
                  <c:v>3.468166776425082</c:v>
                </c:pt>
                <c:pt idx="1">
                  <c:v>0.25</c:v>
                </c:pt>
              </c:numCache>
            </c:numRef>
          </c:yVal>
          <c:smooth val="0"/>
        </c:ser>
        <c:ser>
          <c:idx val="11"/>
          <c:order val="2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ΠINAKEΣ!$S$6:$T$6</c:f>
              <c:numCache>
                <c:ptCount val="2"/>
                <c:pt idx="0">
                  <c:v>0</c:v>
                </c:pt>
                <c:pt idx="1">
                  <c:v>0.5094915254237288</c:v>
                </c:pt>
              </c:numCache>
            </c:numRef>
          </c:xVal>
          <c:yVal>
            <c:numRef>
              <c:f>ΠINAKEΣ!$S$7:$T$7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12"/>
          <c:order val="3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ΠINAKEΣ!$A$3:$B$3</c:f>
              <c:numCache>
                <c:ptCount val="2"/>
                <c:pt idx="0">
                  <c:v>0.8</c:v>
                </c:pt>
                <c:pt idx="1">
                  <c:v>0.6000000000000001</c:v>
                </c:pt>
              </c:numCache>
            </c:numRef>
          </c:xVal>
          <c:yVal>
            <c:numRef>
              <c:f>ΠINAKEΣ!$A$4:$B$4</c:f>
              <c:numCache>
                <c:ptCount val="2"/>
                <c:pt idx="0">
                  <c:v>3.3</c:v>
                </c:pt>
                <c:pt idx="1">
                  <c:v>3.3</c:v>
                </c:pt>
              </c:numCache>
            </c:numRef>
          </c:yVal>
          <c:smooth val="0"/>
        </c:ser>
        <c:ser>
          <c:idx val="13"/>
          <c:order val="4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ΠINAKEΣ!$C$3:$D$3</c:f>
              <c:numCache>
                <c:ptCount val="2"/>
                <c:pt idx="0">
                  <c:v>0.6000000000000001</c:v>
                </c:pt>
                <c:pt idx="1">
                  <c:v>0.5</c:v>
                </c:pt>
              </c:numCache>
            </c:numRef>
          </c:xVal>
          <c:yVal>
            <c:numRef>
              <c:f>ΠINAKEΣ!$C$4:$D$4</c:f>
              <c:numCache>
                <c:ptCount val="2"/>
                <c:pt idx="0">
                  <c:v>3.3</c:v>
                </c:pt>
                <c:pt idx="1">
                  <c:v>0.35</c:v>
                </c:pt>
              </c:numCache>
            </c:numRef>
          </c:yVal>
          <c:smooth val="0"/>
        </c:ser>
        <c:ser>
          <c:idx val="14"/>
          <c:order val="5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ΠINAKEΣ!$E$3:$F$3</c:f>
              <c:numCach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xVal>
          <c:yVal>
            <c:numRef>
              <c:f>ΠINAKEΣ!$E$4:$F$4</c:f>
              <c:numCache>
                <c:ptCount val="2"/>
                <c:pt idx="0">
                  <c:v>0.35</c:v>
                </c:pt>
                <c:pt idx="1">
                  <c:v>0.25</c:v>
                </c:pt>
              </c:numCache>
            </c:numRef>
          </c:yVal>
          <c:smooth val="0"/>
        </c:ser>
        <c:ser>
          <c:idx val="15"/>
          <c:order val="6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ΠINAKEΣ!$G$3:$H$3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ΠINAKEΣ!$G$4:$H$4</c:f>
              <c:numCache>
                <c:ptCount val="2"/>
                <c:pt idx="0">
                  <c:v>0.25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7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ΠINAKEΣ!$K$3:$L$3</c:f>
              <c:numCache>
                <c:ptCount val="2"/>
                <c:pt idx="0">
                  <c:v>2.4000000000000004</c:v>
                </c:pt>
                <c:pt idx="1">
                  <c:v>2.4000000000000004</c:v>
                </c:pt>
              </c:numCache>
            </c:numRef>
          </c:xVal>
          <c:yVal>
            <c:numRef>
              <c:f>ΠINAKEΣ!$K$4:$L$4</c:f>
              <c:numCach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yVal>
          <c:smooth val="0"/>
        </c:ser>
        <c:ser>
          <c:idx val="18"/>
          <c:order val="8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ΠINAKEΣ!$M$3:$N$3</c:f>
              <c:numCache>
                <c:ptCount val="2"/>
                <c:pt idx="0">
                  <c:v>2.4000000000000004</c:v>
                </c:pt>
                <c:pt idx="1">
                  <c:v>0.8</c:v>
                </c:pt>
              </c:numCache>
            </c:numRef>
          </c:xVal>
          <c:yVal>
            <c:numRef>
              <c:f>ΠINAKEΣ!$M$4:$N$4</c:f>
              <c:numCache>
                <c:ptCount val="2"/>
                <c:pt idx="0">
                  <c:v>0.25</c:v>
                </c:pt>
                <c:pt idx="1">
                  <c:v>0.35</c:v>
                </c:pt>
              </c:numCache>
            </c:numRef>
          </c:yVal>
          <c:smooth val="0"/>
        </c:ser>
        <c:ser>
          <c:idx val="19"/>
          <c:order val="9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ΠINAKEΣ!$O$3:$P$3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xVal>
          <c:yVal>
            <c:numRef>
              <c:f>ΠINAKEΣ!$O$4:$P$4</c:f>
              <c:numCache>
                <c:ptCount val="2"/>
                <c:pt idx="0">
                  <c:v>0.35</c:v>
                </c:pt>
                <c:pt idx="1">
                  <c:v>3.3</c:v>
                </c:pt>
              </c:numCache>
            </c:numRef>
          </c:yVal>
          <c:smooth val="0"/>
        </c:ser>
        <c:ser>
          <c:idx val="20"/>
          <c:order val="1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ΠINAKEΣ!$Q$3:$R$3</c:f>
              <c:numCache>
                <c:ptCount val="2"/>
                <c:pt idx="0">
                  <c:v>0.8</c:v>
                </c:pt>
                <c:pt idx="1">
                  <c:v>2.4000000000000004</c:v>
                </c:pt>
              </c:numCache>
            </c:numRef>
          </c:xVal>
          <c:yVal>
            <c:numRef>
              <c:f>ΠINAKEΣ!$Q$4:$R$4</c:f>
              <c:numCache>
                <c:ptCount val="2"/>
                <c:pt idx="0">
                  <c:v>3.3</c:v>
                </c:pt>
                <c:pt idx="1">
                  <c:v>3.468166776425082</c:v>
                </c:pt>
              </c:numCache>
            </c:numRef>
          </c:yVal>
          <c:smooth val="0"/>
        </c:ser>
        <c:ser>
          <c:idx val="21"/>
          <c:order val="1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ΠINAKEΣ!$S$3:$T$3</c:f>
              <c:numCache>
                <c:ptCount val="2"/>
                <c:pt idx="0">
                  <c:v>2.4000000000000004</c:v>
                </c:pt>
                <c:pt idx="1">
                  <c:v>2.4000000000000004</c:v>
                </c:pt>
              </c:numCache>
            </c:numRef>
          </c:xVal>
          <c:yVal>
            <c:numRef>
              <c:f>ΠINAKEΣ!$S$4:$T$4</c:f>
              <c:numCache>
                <c:ptCount val="2"/>
                <c:pt idx="0">
                  <c:v>3.468166776425082</c:v>
                </c:pt>
                <c:pt idx="1">
                  <c:v>0.25</c:v>
                </c:pt>
              </c:numCache>
            </c:numRef>
          </c:yVal>
          <c:smooth val="0"/>
        </c:ser>
        <c:ser>
          <c:idx val="22"/>
          <c:order val="12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ΠINAKEΣ!$U$3:$V$3</c:f>
              <c:numCache>
                <c:ptCount val="2"/>
                <c:pt idx="0">
                  <c:v>2.4000000000000004</c:v>
                </c:pt>
                <c:pt idx="1">
                  <c:v>3.4000000000000004</c:v>
                </c:pt>
              </c:numCache>
            </c:numRef>
          </c:xVal>
          <c:yVal>
            <c:numRef>
              <c:f>ΠINAKEΣ!$U$4:$V$4</c:f>
              <c:numCache>
                <c:ptCount val="2"/>
                <c:pt idx="0">
                  <c:v>0.6499999999999999</c:v>
                </c:pt>
                <c:pt idx="1">
                  <c:v>0.7551042352656764</c:v>
                </c:pt>
              </c:numCache>
            </c:numRef>
          </c:yVal>
          <c:smooth val="0"/>
        </c:ser>
        <c:ser>
          <c:idx val="23"/>
          <c:order val="1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ΠINAKEΣ!$S$6:$T$6</c:f>
              <c:numCache>
                <c:ptCount val="2"/>
                <c:pt idx="0">
                  <c:v>0</c:v>
                </c:pt>
                <c:pt idx="1">
                  <c:v>0.5094915254237288</c:v>
                </c:pt>
              </c:numCache>
            </c:numRef>
          </c:xVal>
          <c:yVal>
            <c:numRef>
              <c:f>ΠINAKEΣ!$S$7:$T$7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24"/>
          <c:order val="14"/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ΠINAKEΣ!$U$6:$V$6</c:f>
              <c:numCache>
                <c:ptCount val="2"/>
                <c:pt idx="0">
                  <c:v>0.8</c:v>
                </c:pt>
                <c:pt idx="1">
                  <c:v>2.4000000000000004</c:v>
                </c:pt>
              </c:numCache>
            </c:numRef>
          </c:xVal>
          <c:yVal>
            <c:numRef>
              <c:f>ΠINAKEΣ!$U$7:$V$7</c:f>
              <c:numCache>
                <c:ptCount val="2"/>
                <c:pt idx="0">
                  <c:v>1.2999999999999998</c:v>
                </c:pt>
                <c:pt idx="1">
                  <c:v>1.2999999999999998</c:v>
                </c:pt>
              </c:numCache>
            </c:numRef>
          </c:yVal>
          <c:smooth val="0"/>
        </c:ser>
        <c:ser>
          <c:idx val="25"/>
          <c:order val="15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ΠINAKEΣ!$W$3:$X$3</c:f>
              <c:numCache>
                <c:ptCount val="2"/>
                <c:pt idx="0">
                  <c:v>2.4000000000000004</c:v>
                </c:pt>
                <c:pt idx="1">
                  <c:v>3.4000000000000004</c:v>
                </c:pt>
              </c:numCache>
            </c:numRef>
          </c:xVal>
          <c:yVal>
            <c:numRef>
              <c:f>ΠINAKEΣ!$W$4:$X$4</c:f>
              <c:numCache>
                <c:ptCount val="2"/>
                <c:pt idx="0">
                  <c:v>1.9</c:v>
                </c:pt>
                <c:pt idx="1">
                  <c:v>2.0051042352656765</c:v>
                </c:pt>
              </c:numCache>
            </c:numRef>
          </c:yVal>
          <c:smooth val="0"/>
        </c:ser>
        <c:ser>
          <c:idx val="26"/>
          <c:order val="1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ΠINAKEΣ!$U$6:$V$6</c:f>
              <c:numCache>
                <c:ptCount val="2"/>
                <c:pt idx="0">
                  <c:v>0.8</c:v>
                </c:pt>
                <c:pt idx="1">
                  <c:v>2.4000000000000004</c:v>
                </c:pt>
              </c:numCache>
            </c:numRef>
          </c:xVal>
          <c:yVal>
            <c:numRef>
              <c:f>ΠINAKEΣ!$U$7:$V$7</c:f>
              <c:numCache>
                <c:ptCount val="2"/>
                <c:pt idx="0">
                  <c:v>1.2999999999999998</c:v>
                </c:pt>
                <c:pt idx="1">
                  <c:v>1.2999999999999998</c:v>
                </c:pt>
              </c:numCache>
            </c:numRef>
          </c:yVal>
          <c:smooth val="0"/>
        </c:ser>
        <c:axId val="22331688"/>
        <c:axId val="66767465"/>
      </c:scatterChart>
      <c:valAx>
        <c:axId val="22331688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67465"/>
        <c:crosses val="autoZero"/>
        <c:crossBetween val="midCat"/>
        <c:dispUnits/>
        <c:majorUnit val="0.5"/>
      </c:valAx>
      <c:valAx>
        <c:axId val="66767465"/>
        <c:scaling>
          <c:orientation val="minMax"/>
          <c:max val="6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31688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65"/>
          <c:w val="0.93675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ΠINAKEΣ!$A$7:$B$7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ΠINAKEΣ!$A$8:$B$8</c:f>
              <c:numCache>
                <c:ptCount val="2"/>
                <c:pt idx="0">
                  <c:v>1.2999999999999998</c:v>
                </c:pt>
                <c:pt idx="1">
                  <c:v>3.3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ΠINAKEΣ!$C$7:$D$7</c:f>
              <c:numCache>
                <c:ptCount val="2"/>
                <c:pt idx="0">
                  <c:v>0</c:v>
                </c:pt>
                <c:pt idx="1">
                  <c:v>0.7531189135520666</c:v>
                </c:pt>
              </c:numCache>
            </c:numRef>
          </c:xVal>
          <c:yVal>
            <c:numRef>
              <c:f>ΠINAKEΣ!$C$8:$D$8</c:f>
              <c:numCache>
                <c:ptCount val="2"/>
                <c:pt idx="0">
                  <c:v>3.3</c:v>
                </c:pt>
                <c:pt idx="1">
                  <c:v>3.3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ΠINAKEΣ!$E$7:$F$7</c:f>
              <c:numCache>
                <c:ptCount val="2"/>
                <c:pt idx="0">
                  <c:v>0.7531189135520666</c:v>
                </c:pt>
                <c:pt idx="1">
                  <c:v>10.550443355917734</c:v>
                </c:pt>
              </c:numCache>
            </c:numRef>
          </c:xVal>
          <c:yVal>
            <c:numRef>
              <c:f>ΠINAKEΣ!$E$8:$F$8</c:f>
              <c:numCache>
                <c:ptCount val="2"/>
                <c:pt idx="0">
                  <c:v>3.3</c:v>
                </c:pt>
                <c:pt idx="1">
                  <c:v>1.2999999999999998</c:v>
                </c:pt>
              </c:numCache>
            </c:numRef>
          </c:yVal>
          <c:smooth val="0"/>
        </c:ser>
        <c:ser>
          <c:idx val="4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ΠINAKEΣ!$A$10:$B$10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ΠINAKEΣ!$A$11:$B$11</c:f>
              <c:numCache>
                <c:ptCount val="2"/>
                <c:pt idx="0">
                  <c:v>0</c:v>
                </c:pt>
                <c:pt idx="1">
                  <c:v>1.2999999999999998</c:v>
                </c:pt>
              </c:numCache>
            </c:numRef>
          </c:yVal>
          <c:smooth val="0"/>
        </c:ser>
        <c:ser>
          <c:idx val="5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ΠINAKEΣ!$C$10:$D$10</c:f>
              <c:numCache>
                <c:ptCount val="2"/>
                <c:pt idx="0">
                  <c:v>0</c:v>
                </c:pt>
                <c:pt idx="1">
                  <c:v>15.146524932946825</c:v>
                </c:pt>
              </c:numCache>
            </c:numRef>
          </c:xVal>
          <c:yVal>
            <c:numRef>
              <c:f>ΠINAKEΣ!$C$11:$D$11</c:f>
              <c:numCache>
                <c:ptCount val="2"/>
                <c:pt idx="0">
                  <c:v>1.2999999999999998</c:v>
                </c:pt>
                <c:pt idx="1">
                  <c:v>1.2999999999999998</c:v>
                </c:pt>
              </c:numCache>
            </c:numRef>
          </c:yVal>
          <c:smooth val="0"/>
        </c:ser>
        <c:ser>
          <c:idx val="6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ΠINAKEΣ!$E$10:$F$10</c:f>
              <c:numCache>
                <c:ptCount val="2"/>
                <c:pt idx="0">
                  <c:v>15.146524932946825</c:v>
                </c:pt>
                <c:pt idx="1">
                  <c:v>22.64284167683015</c:v>
                </c:pt>
              </c:numCache>
            </c:numRef>
          </c:xVal>
          <c:yVal>
            <c:numRef>
              <c:f>ΠINAKEΣ!$E$11:$F$11</c:f>
              <c:numCache>
                <c:ptCount val="2"/>
                <c:pt idx="0">
                  <c:v>1.2999999999999998</c:v>
                </c:pt>
                <c:pt idx="1">
                  <c:v>0</c:v>
                </c:pt>
              </c:numCache>
            </c:numRef>
          </c:yVal>
          <c:smooth val="0"/>
        </c:ser>
        <c:axId val="64036274"/>
        <c:axId val="39455555"/>
      </c:scatterChart>
      <c:val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5555"/>
        <c:crosses val="autoZero"/>
        <c:crossBetween val="midCat"/>
        <c:dispUnits/>
      </c:valAx>
      <c:valAx>
        <c:axId val="39455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36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66"/>
          <c:w val="0.9095"/>
          <c:h val="0.86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ΠINAKEΣ!$A$10:$B$10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ΠINAKEΣ!$A$11:$B$11</c:f>
              <c:numCache>
                <c:ptCount val="2"/>
                <c:pt idx="0">
                  <c:v>0</c:v>
                </c:pt>
                <c:pt idx="1">
                  <c:v>1.2999999999999998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ΠINAKEΣ!$C$10:$D$10</c:f>
              <c:numCache>
                <c:ptCount val="2"/>
                <c:pt idx="0">
                  <c:v>0</c:v>
                </c:pt>
                <c:pt idx="1">
                  <c:v>15.146524932946825</c:v>
                </c:pt>
              </c:numCache>
            </c:numRef>
          </c:xVal>
          <c:yVal>
            <c:numRef>
              <c:f>ΠINAKEΣ!$C$11:$D$11</c:f>
              <c:numCache>
                <c:ptCount val="2"/>
                <c:pt idx="0">
                  <c:v>1.2999999999999998</c:v>
                </c:pt>
                <c:pt idx="1">
                  <c:v>1.2999999999999998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ΠINAKEΣ!$E$10:$F$10</c:f>
              <c:numCache>
                <c:ptCount val="2"/>
                <c:pt idx="0">
                  <c:v>15.146524932946825</c:v>
                </c:pt>
                <c:pt idx="1">
                  <c:v>22.64284167683015</c:v>
                </c:pt>
              </c:numCache>
            </c:numRef>
          </c:xVal>
          <c:yVal>
            <c:numRef>
              <c:f>ΠINAKEΣ!$E$11:$F$11</c:f>
              <c:numCache>
                <c:ptCount val="2"/>
                <c:pt idx="0">
                  <c:v>1.2999999999999998</c:v>
                </c:pt>
                <c:pt idx="1">
                  <c:v>0</c:v>
                </c:pt>
              </c:numCache>
            </c:numRef>
          </c:yVal>
          <c:smooth val="0"/>
        </c:ser>
        <c:axId val="19555676"/>
        <c:axId val="41783357"/>
      </c:scatterChart>
      <c:val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3357"/>
        <c:crosses val="autoZero"/>
        <c:crossBetween val="midCat"/>
        <c:dispUnits/>
      </c:valAx>
      <c:valAx>
        <c:axId val="41783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556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975"/>
          <c:w val="0.909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OΠΛ. ΣKYP.'!$A$445:$A$458</c:f>
              <c:numCache/>
            </c:numRef>
          </c:cat>
          <c:val>
            <c:numRef>
              <c:f>'TOIXOΣ OΠΛ. ΣKYP.'!$D$445:$D$458</c:f>
              <c:numCache/>
            </c:numRef>
          </c:val>
        </c:ser>
        <c:overlap val="50"/>
        <c:gapWidth val="30"/>
        <c:axId val="11271186"/>
        <c:axId val="34331811"/>
      </c:barChart>
      <c:catAx>
        <c:axId val="11271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4331811"/>
        <c:crosses val="autoZero"/>
        <c:auto val="1"/>
        <c:lblOffset val="100"/>
        <c:tickLblSkip val="1"/>
        <c:noMultiLvlLbl val="0"/>
      </c:catAx>
      <c:valAx>
        <c:axId val="3433181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71186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395"/>
          <c:w val="0.91825"/>
          <c:h val="0.9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ΠINAKEΣ!$A$3:$B$3</c:f>
              <c:numCache/>
            </c:numRef>
          </c:xVal>
          <c:yVal>
            <c:numRef>
              <c:f>ΠINAKEΣ!$A$4:$B$4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ΠINAKEΣ!$C$3:$D$3</c:f>
              <c:numCache/>
            </c:numRef>
          </c:xVal>
          <c:yVal>
            <c:numRef>
              <c:f>ΠINAKEΣ!$C$4:$D$4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ΠINAKEΣ!$E$3:$F$3</c:f>
              <c:numCache/>
            </c:numRef>
          </c:xVal>
          <c:yVal>
            <c:numRef>
              <c:f>ΠINAKEΣ!$E$4:$F$4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ΠINAKEΣ!$G$3:$H$3</c:f>
              <c:numCache/>
            </c:numRef>
          </c:xVal>
          <c:yVal>
            <c:numRef>
              <c:f>ΠINAKEΣ!$G$4:$H$4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ΠINAKEΣ!$I$3:$J$3</c:f>
              <c:numCache/>
            </c:numRef>
          </c:xVal>
          <c:yVal>
            <c:numRef>
              <c:f>ΠINAKEΣ!$I$4:$J$4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ΠINAKEΣ!$K$3:$L$3</c:f>
              <c:numCache/>
            </c:numRef>
          </c:xVal>
          <c:yVal>
            <c:numRef>
              <c:f>ΠINAKEΣ!$K$4:$L$4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ΠINAKEΣ!$M$3:$N$3</c:f>
              <c:numCache/>
            </c:numRef>
          </c:xVal>
          <c:yVal>
            <c:numRef>
              <c:f>ΠINAKEΣ!$M$4:$N$4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ΠINAKEΣ!$O$3:$P$3</c:f>
              <c:numCache/>
            </c:numRef>
          </c:xVal>
          <c:yVal>
            <c:numRef>
              <c:f>ΠINAKEΣ!$O$4:$P$4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ΠINAKEΣ!$Q$3:$R$3</c:f>
              <c:numCache/>
            </c:numRef>
          </c:xVal>
          <c:yVal>
            <c:numRef>
              <c:f>ΠINAKEΣ!$Q$4:$R$4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ΠINAKEΣ!$S$3:$T$3</c:f>
              <c:numCache/>
            </c:numRef>
          </c:xVal>
          <c:yVal>
            <c:numRef>
              <c:f>ΠINAKEΣ!$S$4:$T$4</c:f>
              <c:numCache/>
            </c:numRef>
          </c:yVal>
          <c:smooth val="0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ΠINAKEΣ!$U$3:$V$3</c:f>
              <c:numCache/>
            </c:numRef>
          </c:xVal>
          <c:yVal>
            <c:numRef>
              <c:f>ΠINAKEΣ!$U$4:$V$4</c:f>
              <c:numCache/>
            </c:numRef>
          </c:yVal>
          <c:smooth val="0"/>
        </c:ser>
        <c:ser>
          <c:idx val="11"/>
          <c:order val="11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ΠINAKEΣ!$S$6:$T$6</c:f>
              <c:numCache/>
            </c:numRef>
          </c:xVal>
          <c:yVal>
            <c:numRef>
              <c:f>ΠINAKEΣ!$S$7:$T$7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ΠINAKEΣ!$A$3:$B$3</c:f>
              <c:numCache/>
            </c:numRef>
          </c:xVal>
          <c:yVal>
            <c:numRef>
              <c:f>ΠINAKEΣ!$A$4:$B$4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ΠINAKEΣ!$C$3:$D$3</c:f>
              <c:numCache/>
            </c:numRef>
          </c:xVal>
          <c:yVal>
            <c:numRef>
              <c:f>ΠINAKEΣ!$C$4:$D$4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ΠINAKEΣ!$E$3:$F$3</c:f>
              <c:numCache/>
            </c:numRef>
          </c:xVal>
          <c:yVal>
            <c:numRef>
              <c:f>ΠINAKEΣ!$E$4:$F$4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ΠINAKEΣ!$G$3:$H$3</c:f>
              <c:numCache/>
            </c:numRef>
          </c:xVal>
          <c:yVal>
            <c:numRef>
              <c:f>ΠINAKEΣ!$G$4:$H$4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ΠINAKEΣ!$I$3:$J$3</c:f>
              <c:numCache/>
            </c:numRef>
          </c:xVal>
          <c:yVal>
            <c:numRef>
              <c:f>ΠINAKEΣ!$I$4:$J$4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ΠINAKEΣ!$K$3:$L$3</c:f>
              <c:numCache/>
            </c:numRef>
          </c:xVal>
          <c:yVal>
            <c:numRef>
              <c:f>ΠINAKEΣ!$K$4:$L$4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ΠINAKEΣ!$M$3:$N$3</c:f>
              <c:numCache/>
            </c:numRef>
          </c:xVal>
          <c:yVal>
            <c:numRef>
              <c:f>ΠINAKEΣ!$M$4:$N$4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ΠINAKEΣ!$O$3:$P$3</c:f>
              <c:numCache/>
            </c:numRef>
          </c:xVal>
          <c:yVal>
            <c:numRef>
              <c:f>ΠINAKEΣ!$O$4:$P$4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ΠINAKEΣ!$Q$3:$R$3</c:f>
              <c:numCache/>
            </c:numRef>
          </c:xVal>
          <c:yVal>
            <c:numRef>
              <c:f>ΠINAKEΣ!$Q$4:$R$4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ΠINAKEΣ!$S$3:$T$3</c:f>
              <c:numCache/>
            </c:numRef>
          </c:xVal>
          <c:yVal>
            <c:numRef>
              <c:f>ΠINAKEΣ!$S$4:$T$4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ΠINAKEΣ!$U$3:$V$3</c:f>
              <c:numCache/>
            </c:numRef>
          </c:xVal>
          <c:yVal>
            <c:numRef>
              <c:f>ΠINAKEΣ!$U$4:$V$4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ΠINAKEΣ!$S$6:$T$6</c:f>
              <c:numCache/>
            </c:numRef>
          </c:xVal>
          <c:yVal>
            <c:numRef>
              <c:f>ΠINAKEΣ!$S$7:$T$7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ΠINAKEΣ!$U$6:$V$6</c:f>
              <c:numCache/>
            </c:numRef>
          </c:xVal>
          <c:yVal>
            <c:numRef>
              <c:f>ΠINAKEΣ!$U$7:$V$7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ΠINAKEΣ!$W$3:$X$3</c:f>
              <c:numCache/>
            </c:numRef>
          </c:xVal>
          <c:yVal>
            <c:numRef>
              <c:f>ΠINAKEΣ!$W$4:$X$4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ΠINAKEΣ!$U$6:$V$6</c:f>
              <c:numCache/>
            </c:numRef>
          </c:xVal>
          <c:yVal>
            <c:numRef>
              <c:f>ΠINAKEΣ!$U$7:$V$7</c:f>
              <c:numCache/>
            </c:numRef>
          </c:yVal>
          <c:smooth val="0"/>
        </c:ser>
        <c:axId val="40505894"/>
        <c:axId val="29008727"/>
      </c:scatterChart>
      <c:val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8727"/>
        <c:crosses val="autoZero"/>
        <c:crossBetween val="midCat"/>
        <c:dispUnits/>
      </c:valAx>
      <c:valAx>
        <c:axId val="29008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5894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8875"/>
          <c:w val="0.87275"/>
          <c:h val="0.82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ΠINAKEΣ!$A$7:$B$7</c:f>
              <c:numCache/>
            </c:numRef>
          </c:xVal>
          <c:yVal>
            <c:numRef>
              <c:f>ΠINAKEΣ!$A$8:$B$8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ΠINAKEΣ!$C$7:$D$7</c:f>
              <c:numCache/>
            </c:numRef>
          </c:xVal>
          <c:yVal>
            <c:numRef>
              <c:f>ΠINAKEΣ!$C$8:$D$8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ΠINAKEΣ!$E$7:$F$7</c:f>
              <c:numCache/>
            </c:numRef>
          </c:xVal>
          <c:yVal>
            <c:numRef>
              <c:f>ΠINAKEΣ!$E$8:$F$8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ΠINAKEΣ!$G$7:$H$7</c:f>
              <c:numCache/>
            </c:numRef>
          </c:xVal>
          <c:yVal>
            <c:numRef>
              <c:f>ΠINAKEΣ!$G$8:$H$8</c:f>
              <c:numCache/>
            </c:numRef>
          </c:yVal>
          <c:smooth val="0"/>
        </c:ser>
        <c:axId val="59751952"/>
        <c:axId val="896657"/>
      </c:scatterChart>
      <c:val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57"/>
        <c:crosses val="autoZero"/>
        <c:crossBetween val="midCat"/>
        <c:dispUnits/>
      </c:val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1952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775"/>
          <c:w val="0.8812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ΠINAKEΣ!$J$7:$K$7</c:f>
              <c:numCache/>
            </c:numRef>
          </c:xVal>
          <c:yVal>
            <c:numRef>
              <c:f>ΠINAKEΣ!$J$8:$K$8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ΠINAKEΣ!$L$7:$M$7</c:f>
              <c:numCache/>
            </c:numRef>
          </c:xVal>
          <c:yVal>
            <c:numRef>
              <c:f>ΠINAKEΣ!$L$8:$M$8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ΠINAKEΣ!$N$7:$O$7</c:f>
              <c:numCache/>
            </c:numRef>
          </c:xVal>
          <c:yVal>
            <c:numRef>
              <c:f>ΠINAKEΣ!$N$8:$O$8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ΠINAKEΣ!$P$7:$Q$7</c:f>
              <c:numCache/>
            </c:numRef>
          </c:xVal>
          <c:yVal>
            <c:numRef>
              <c:f>ΠINAKEΣ!$P$8:$Q$8</c:f>
              <c:numCache/>
            </c:numRef>
          </c:yVal>
          <c:smooth val="0"/>
        </c:ser>
        <c:axId val="8069914"/>
        <c:axId val="5520363"/>
      </c:scatterChart>
      <c:val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363"/>
        <c:crosses val="autoZero"/>
        <c:crossBetween val="midCat"/>
        <c:dispUnits/>
      </c:valAx>
      <c:valAx>
        <c:axId val="5520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9914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685"/>
          <c:w val="0.88125"/>
          <c:h val="0.86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ΠINAKEΣ!$B$21:$C$21</c:f>
              <c:numCache/>
            </c:numRef>
          </c:xVal>
          <c:yVal>
            <c:numRef>
              <c:f>ΠINAKEΣ!$B$22:$C$22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ΠINAKEΣ!$D$21:$E$21</c:f>
              <c:numCache/>
            </c:numRef>
          </c:xVal>
          <c:yVal>
            <c:numRef>
              <c:f>ΠINAKEΣ!$D$22:$E$22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ΠINAKEΣ!$F$21:$G$21</c:f>
              <c:numCache/>
            </c:numRef>
          </c:xVal>
          <c:yVal>
            <c:numRef>
              <c:f>ΠINAKEΣ!$F$22:$G$22</c:f>
              <c:numCache/>
            </c:numRef>
          </c:yVal>
          <c:smooth val="0"/>
        </c:ser>
        <c:axId val="49683268"/>
        <c:axId val="44496229"/>
      </c:scatterChart>
      <c:val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6229"/>
        <c:crosses val="autoZero"/>
        <c:crossBetween val="midCat"/>
        <c:dispUnits/>
      </c:valAx>
      <c:valAx>
        <c:axId val="44496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268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685"/>
          <c:w val="0.88125"/>
          <c:h val="0.86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ΠINAKEΣ!$I$21:$J$21</c:f>
              <c:numCache/>
            </c:numRef>
          </c:xVal>
          <c:yVal>
            <c:numRef>
              <c:f>ΠINAKEΣ!$I$22:$J$22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ΠINAKEΣ!$K$21:$L$21</c:f>
              <c:numCache/>
            </c:numRef>
          </c:xVal>
          <c:yVal>
            <c:numRef>
              <c:f>ΠINAKEΣ!$K$22:$L$22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ΠINAKEΣ!$M$21:$N$21</c:f>
              <c:numCache/>
            </c:numRef>
          </c:xVal>
          <c:yVal>
            <c:numRef>
              <c:f>ΠINAKEΣ!$M$22:$N$22</c:f>
              <c:numCache/>
            </c:numRef>
          </c:yVal>
          <c:smooth val="0"/>
        </c:ser>
        <c:axId val="64921742"/>
        <c:axId val="47424767"/>
      </c:scatterChart>
      <c:val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67"/>
        <c:crosses val="autoZero"/>
        <c:crossBetween val="midCat"/>
        <c:dispUnits/>
      </c:valAx>
      <c:valAx>
        <c:axId val="4742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1742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685"/>
          <c:w val="0.88075"/>
          <c:h val="0.86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ΠINAKEΣ!$B$36:$C$36</c:f>
              <c:numCache/>
            </c:numRef>
          </c:xVal>
          <c:yVal>
            <c:numRef>
              <c:f>ΠINAKEΣ!$B$37:$C$37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ΠINAKEΣ!$D$36:$E$36</c:f>
              <c:numCache/>
            </c:numRef>
          </c:xVal>
          <c:yVal>
            <c:numRef>
              <c:f>ΠINAKEΣ!$D$37:$E$37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ΠINAKEΣ!$F$36:$G$36</c:f>
              <c:numCache/>
            </c:numRef>
          </c:xVal>
          <c:yVal>
            <c:numRef>
              <c:f>ΠINAKEΣ!$F$37:$G$37</c:f>
              <c:numCache/>
            </c:numRef>
          </c:yVal>
          <c:smooth val="0"/>
        </c:ser>
        <c:axId val="24169720"/>
        <c:axId val="16200889"/>
      </c:scatterChart>
      <c:val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0889"/>
        <c:crosses val="autoZero"/>
        <c:crossBetween val="midCat"/>
        <c:dispUnits/>
      </c:valAx>
      <c:valAx>
        <c:axId val="16200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9720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685"/>
          <c:w val="0.88075"/>
          <c:h val="0.86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ΠINAKEΣ!$B$51:$C$51</c:f>
              <c:numCache/>
            </c:numRef>
          </c:xVal>
          <c:yVal>
            <c:numRef>
              <c:f>ΠINAKEΣ!$B$52:$C$52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ΠINAKEΣ!$D$51:$E$51</c:f>
              <c:numCache/>
            </c:numRef>
          </c:xVal>
          <c:yVal>
            <c:numRef>
              <c:f>ΠINAKEΣ!$D$52:$E$52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ΠINAKEΣ!$F$51:$G$51</c:f>
              <c:numCache/>
            </c:numRef>
          </c:xVal>
          <c:yVal>
            <c:numRef>
              <c:f>ΠINAKEΣ!$F$52:$G$52</c:f>
              <c:numCache/>
            </c:numRef>
          </c:yVal>
          <c:smooth val="0"/>
        </c:ser>
        <c:axId val="11590274"/>
        <c:axId val="37203603"/>
      </c:scatterChart>
      <c:valAx>
        <c:axId val="11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03603"/>
        <c:crosses val="autoZero"/>
        <c:crossBetween val="midCat"/>
        <c:dispUnits/>
      </c:valAx>
      <c:valAx>
        <c:axId val="37203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274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75"/>
          <c:w val="0.88175"/>
          <c:h val="0.8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ΠINAKEΣ!$I$51:$J$51</c:f>
              <c:numCache/>
            </c:numRef>
          </c:xVal>
          <c:yVal>
            <c:numRef>
              <c:f>ΠINAKEΣ!$I$52:$J$52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ΠINAKEΣ!$K$51:$L$51</c:f>
              <c:numCache/>
            </c:numRef>
          </c:xVal>
          <c:yVal>
            <c:numRef>
              <c:f>ΠINAKEΣ!$K$52:$L$52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ΠINAKEΣ!$M$51:$N$51</c:f>
              <c:numCache/>
            </c:numRef>
          </c:xVal>
          <c:yVal>
            <c:numRef>
              <c:f>ΠINAKEΣ!$M$52:$N$52</c:f>
              <c:numCache/>
            </c:numRef>
          </c:yVal>
          <c:smooth val="0"/>
        </c:ser>
        <c:axId val="66396972"/>
        <c:axId val="60701837"/>
      </c:scatterChart>
      <c:valAx>
        <c:axId val="6639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1837"/>
        <c:crosses val="autoZero"/>
        <c:crossBetween val="midCat"/>
        <c:dispUnits/>
      </c:valAx>
      <c:valAx>
        <c:axId val="6070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175"/>
          <c:w val="0.8817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ΠINAKEΣ!$B$66:$C$66</c:f>
              <c:numCache/>
            </c:numRef>
          </c:xVal>
          <c:yVal>
            <c:numRef>
              <c:f>ΠINAKEΣ!$B$67:$C$67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ΠINAKEΣ!$D$66:$E$66</c:f>
              <c:numCache/>
            </c:numRef>
          </c:xVal>
          <c:yVal>
            <c:numRef>
              <c:f>ΠINAKEΣ!$D$67:$E$67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ΠINAKEΣ!$F$66:$G$66</c:f>
              <c:numCache/>
            </c:numRef>
          </c:xVal>
          <c:yVal>
            <c:numRef>
              <c:f>ΠINAKEΣ!$F$67:$G$67</c:f>
              <c:numCache/>
            </c:numRef>
          </c:yVal>
          <c:smooth val="0"/>
        </c:ser>
        <c:axId val="9445622"/>
        <c:axId val="17901735"/>
      </c:scatterChart>
      <c:val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1735"/>
        <c:crosses val="autoZero"/>
        <c:crossBetween val="midCat"/>
        <c:dispUnits/>
      </c:valAx>
      <c:valAx>
        <c:axId val="17901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1"/>
          <c:w val="0.88175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ΠINAKEΣ!$I$66:$J$66</c:f>
              <c:numCache/>
            </c:numRef>
          </c:xVal>
          <c:yVal>
            <c:numRef>
              <c:f>ΠINAKEΣ!$I$67:$J$67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ΠINAKEΣ!$K$66:$L$66</c:f>
              <c:numCache/>
            </c:numRef>
          </c:xVal>
          <c:yVal>
            <c:numRef>
              <c:f>ΠINAKEΣ!$K$67:$L$67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ΠINAKEΣ!$M$66:$N$66</c:f>
              <c:numCache/>
            </c:numRef>
          </c:xVal>
          <c:yVal>
            <c:numRef>
              <c:f>ΠINAKEΣ!$M$67:$N$67</c:f>
              <c:numCache/>
            </c:numRef>
          </c:yVal>
          <c:smooth val="0"/>
        </c:ser>
        <c:axId val="26897888"/>
        <c:axId val="40754401"/>
      </c:scatterChart>
      <c:val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01"/>
        <c:crosses val="autoZero"/>
        <c:crossBetween val="midCat"/>
        <c:dispUnits/>
      </c:valAx>
      <c:valAx>
        <c:axId val="40754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7888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975"/>
          <c:w val="0.909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OΠΛ. ΣKYP.'!$A$445:$A$458</c:f>
              <c:numCache/>
            </c:numRef>
          </c:cat>
          <c:val>
            <c:numRef>
              <c:f>'TOIXOΣ OΠΛ. ΣKYP.'!$E$445:$E$458</c:f>
              <c:numCache/>
            </c:numRef>
          </c:val>
        </c:ser>
        <c:overlap val="50"/>
        <c:gapWidth val="30"/>
        <c:axId val="40550844"/>
        <c:axId val="29413277"/>
      </c:barChart>
      <c:catAx>
        <c:axId val="405508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50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325"/>
          <c:w val="0.91225"/>
          <c:h val="0.95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ΠINAKEΣ!$A$3:$B$3</c:f>
              <c:numCache/>
            </c:numRef>
          </c:xVal>
          <c:yVal>
            <c:numRef>
              <c:f>ΠINAKEΣ!$A$4:$B$4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ΠINAKEΣ!$C$3:$D$3</c:f>
              <c:numCache/>
            </c:numRef>
          </c:xVal>
          <c:yVal>
            <c:numRef>
              <c:f>ΠINAKEΣ!$C$4:$D$4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ΠINAKEΣ!$E$3:$F$3</c:f>
              <c:numCache/>
            </c:numRef>
          </c:xVal>
          <c:yVal>
            <c:numRef>
              <c:f>ΠINAKEΣ!$E$4:$F$4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ΠINAKEΣ!$G$3:$H$3</c:f>
              <c:numCache/>
            </c:numRef>
          </c:xVal>
          <c:yVal>
            <c:numRef>
              <c:f>ΠINAKEΣ!$G$4:$H$4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ΠINAKEΣ!$I$3:$J$3</c:f>
              <c:numCache/>
            </c:numRef>
          </c:xVal>
          <c:yVal>
            <c:numRef>
              <c:f>ΠINAKEΣ!$I$4:$J$4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ΠINAKEΣ!$K$3:$L$3</c:f>
              <c:numCache/>
            </c:numRef>
          </c:xVal>
          <c:yVal>
            <c:numRef>
              <c:f>ΠINAKEΣ!$K$4:$L$4</c:f>
              <c:numCache/>
            </c:numRef>
          </c:yVal>
          <c:smooth val="0"/>
        </c:ser>
        <c:ser>
          <c:idx val="7"/>
          <c:order val="6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ΠINAKEΣ!$O$3:$P$3</c:f>
              <c:numCache/>
            </c:numRef>
          </c:xVal>
          <c:yVal>
            <c:numRef>
              <c:f>ΠINAKEΣ!$O$4:$P$4</c:f>
              <c:numCache/>
            </c:numRef>
          </c:yVal>
          <c:smooth val="0"/>
        </c:ser>
        <c:ser>
          <c:idx val="12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ΠINAKEΣ!$A$3:$B$3</c:f>
              <c:numCache/>
            </c:numRef>
          </c:xVal>
          <c:yVal>
            <c:numRef>
              <c:f>ΠINAKEΣ!$A$4:$B$4</c:f>
              <c:numCache/>
            </c:numRef>
          </c:yVal>
          <c:smooth val="0"/>
        </c:ser>
        <c:ser>
          <c:idx val="13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ΠINAKEΣ!$C$3:$D$3</c:f>
              <c:numCache/>
            </c:numRef>
          </c:xVal>
          <c:yVal>
            <c:numRef>
              <c:f>ΠINAKEΣ!$C$4:$D$4</c:f>
              <c:numCache/>
            </c:numRef>
          </c:yVal>
          <c:smooth val="0"/>
        </c:ser>
        <c:ser>
          <c:idx val="14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ΠINAKEΣ!$E$3:$F$3</c:f>
              <c:numCache/>
            </c:numRef>
          </c:xVal>
          <c:yVal>
            <c:numRef>
              <c:f>ΠINAKEΣ!$E$4:$F$4</c:f>
              <c:numCache/>
            </c:numRef>
          </c:yVal>
          <c:smooth val="0"/>
        </c:ser>
        <c:ser>
          <c:idx val="15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ΠINAKEΣ!$G$3:$H$3</c:f>
              <c:numCache/>
            </c:numRef>
          </c:xVal>
          <c:yVal>
            <c:numRef>
              <c:f>ΠINAKEΣ!$G$4:$H$4</c:f>
              <c:numCache/>
            </c:numRef>
          </c:yVal>
          <c:smooth val="0"/>
        </c:ser>
        <c:ser>
          <c:idx val="16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ΠINAKEΣ!$I$3:$J$3</c:f>
              <c:numCache/>
            </c:numRef>
          </c:xVal>
          <c:yVal>
            <c:numRef>
              <c:f>ΠINAKEΣ!$I$4:$J$4</c:f>
              <c:numCache/>
            </c:numRef>
          </c:yVal>
          <c:smooth val="0"/>
        </c:ser>
        <c:ser>
          <c:idx val="17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ΠINAKEΣ!$K$3:$L$3</c:f>
              <c:numCache/>
            </c:numRef>
          </c:xVal>
          <c:yVal>
            <c:numRef>
              <c:f>ΠINAKEΣ!$K$4:$L$4</c:f>
              <c:numCache/>
            </c:numRef>
          </c:yVal>
          <c:smooth val="0"/>
        </c:ser>
        <c:ser>
          <c:idx val="18"/>
          <c:order val="13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ΠINAKEΣ!$M$3:$N$3</c:f>
              <c:numCache/>
            </c:numRef>
          </c:xVal>
          <c:yVal>
            <c:numRef>
              <c:f>ΠINAKEΣ!$M$4:$N$4</c:f>
              <c:numCache/>
            </c:numRef>
          </c:yVal>
          <c:smooth val="0"/>
        </c:ser>
        <c:ser>
          <c:idx val="19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ΠINAKEΣ!$O$3:$P$3</c:f>
              <c:numCache/>
            </c:numRef>
          </c:xVal>
          <c:yVal>
            <c:numRef>
              <c:f>ΠINAKEΣ!$O$4:$P$4</c:f>
              <c:numCache/>
            </c:numRef>
          </c:yVal>
          <c:smooth val="0"/>
        </c:ser>
        <c:ser>
          <c:idx val="8"/>
          <c:order val="1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ΠINAKEΣ!#REF!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ΠINAKEΣ!#REF!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1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ΠINAKEΣ!#REF!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ΠINAKEΣ!#REF!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ΠINAKEΣ!#REF!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ΠINAKEΣ!#REF!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ΠINAKEΣ!#REF!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ΠINAKEΣ!#REF!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1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ΠINAKEΣ!#REF!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ΠINAKEΣ!#REF!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0"/>
          <c:order val="2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ΠINAKEΣ!$J$183:$J$183</c:f>
              <c:numCache/>
            </c:numRef>
          </c:xVal>
          <c:yVal>
            <c:numRef>
              <c:f>ΠINAKEΣ!$J$184:$J$184</c:f>
              <c:numCache/>
            </c:numRef>
          </c:yVal>
          <c:smooth val="0"/>
        </c:ser>
        <c:ser>
          <c:idx val="23"/>
          <c:order val="2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ΠINAKEΣ!$E$186:$F$186</c:f>
              <c:numCache/>
            </c:numRef>
          </c:xVal>
          <c:yVal>
            <c:numRef>
              <c:f>ΠINAKEΣ!$E$187:$F$187</c:f>
              <c:numCache/>
            </c:numRef>
          </c:yVal>
          <c:smooth val="0"/>
        </c:ser>
        <c:ser>
          <c:idx val="24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ΠINAKEΣ!$A$194:$K$194</c:f>
              <c:numCache/>
            </c:numRef>
          </c:xVal>
          <c:yVal>
            <c:numRef>
              <c:f>ΠINAKEΣ!$A$195:$K$195</c:f>
              <c:numCache/>
            </c:numRef>
          </c:yVal>
          <c:smooth val="0"/>
        </c:ser>
        <c:ser>
          <c:idx val="25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ΠINAKEΣ!$A$198:$I$198</c:f>
              <c:numCache/>
            </c:numRef>
          </c:xVal>
          <c:yVal>
            <c:numRef>
              <c:f>ΠINAKEΣ!$A$199:$I$199</c:f>
              <c:numCache/>
            </c:numRef>
          </c:yVal>
          <c:smooth val="0"/>
        </c:ser>
        <c:ser>
          <c:idx val="21"/>
          <c:order val="2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ΠINAKEΣ!#REF!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ΠINAKEΣ!#REF!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6"/>
          <c:order val="2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ΠINAKEΣ!$A$192:$B$192</c:f>
              <c:numCache/>
            </c:numRef>
          </c:xVal>
          <c:yVal>
            <c:numRef>
              <c:f>ΠINAKEΣ!$A$193:$B$193</c:f>
              <c:numCache/>
            </c:numRef>
          </c:yVal>
          <c:smooth val="0"/>
        </c:ser>
        <c:ser>
          <c:idx val="27"/>
          <c:order val="2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ΠINAKEΣ!$C$192:$D$192</c:f>
              <c:numCache/>
            </c:numRef>
          </c:xVal>
          <c:yVal>
            <c:numRef>
              <c:f>ΠINAKEΣ!$C$193:$D$193</c:f>
              <c:numCache/>
            </c:numRef>
          </c:yVal>
          <c:smooth val="0"/>
        </c:ser>
        <c:ser>
          <c:idx val="22"/>
          <c:order val="27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ΠINAKEΣ!$A$186:$B$186</c:f>
              <c:numCache/>
            </c:numRef>
          </c:xVal>
          <c:yVal>
            <c:numRef>
              <c:f>ΠINAKEΣ!$A$187:$B$187</c:f>
              <c:numCache/>
            </c:numRef>
          </c:yVal>
          <c:smooth val="0"/>
        </c:ser>
        <c:ser>
          <c:idx val="28"/>
          <c:order val="2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ΠINAKEΣ!$C$186:$D$186</c:f>
              <c:numCache/>
            </c:numRef>
          </c:xVal>
          <c:yVal>
            <c:numRef>
              <c:f>ΠINAKEΣ!$C$187:$D$187</c:f>
              <c:numCache/>
            </c:numRef>
          </c:yVal>
          <c:smooth val="0"/>
        </c:ser>
        <c:ser>
          <c:idx val="29"/>
          <c:order val="2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ΠINAKEΣ!$E$186:$F$186</c:f>
              <c:numCache/>
            </c:numRef>
          </c:xVal>
          <c:yVal>
            <c:numRef>
              <c:f>ΠINAKEΣ!$E$187:$F$187</c:f>
              <c:numCache/>
            </c:numRef>
          </c:yVal>
          <c:smooth val="0"/>
        </c:ser>
        <c:ser>
          <c:idx val="0"/>
          <c:order val="3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ΠINAKEΣ!$C$189:$D$189</c:f>
              <c:numCache/>
            </c:numRef>
          </c:xVal>
          <c:yVal>
            <c:numRef>
              <c:f>ΠINAKEΣ!$C$190:$D$190</c:f>
              <c:numCache/>
            </c:numRef>
          </c:yVal>
          <c:smooth val="0"/>
        </c:ser>
        <c:ser>
          <c:idx val="1"/>
          <c:order val="3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ΠINAKEΣ!$E$189:$F$189</c:f>
              <c:numCache/>
            </c:numRef>
          </c:xVal>
          <c:yVal>
            <c:numRef>
              <c:f>ΠINAKEΣ!$E$190:$F$190</c:f>
              <c:numCache/>
            </c:numRef>
          </c:yVal>
          <c:smooth val="0"/>
        </c:ser>
        <c:ser>
          <c:idx val="2"/>
          <c:order val="3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ΠINAKEΣ!$G$189:$H$189</c:f>
              <c:numCache/>
            </c:numRef>
          </c:xVal>
          <c:yVal>
            <c:numRef>
              <c:f>ΠINAKEΣ!$G$190:$H$190</c:f>
              <c:numCache/>
            </c:numRef>
          </c:yVal>
          <c:smooth val="0"/>
        </c:ser>
        <c:ser>
          <c:idx val="3"/>
          <c:order val="3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ΠINAKEΣ!$I$189:$J$189</c:f>
              <c:numCache/>
            </c:numRef>
          </c:xVal>
          <c:yVal>
            <c:numRef>
              <c:f>ΠINAKEΣ!$I$190:$J$190</c:f>
              <c:numCache/>
            </c:numRef>
          </c:yVal>
          <c:smooth val="0"/>
        </c:ser>
        <c:ser>
          <c:idx val="4"/>
          <c:order val="3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ΠINAKEΣ!$A$189:$B$189</c:f>
              <c:numCache/>
            </c:numRef>
          </c:xVal>
          <c:yVal>
            <c:numRef>
              <c:f>ΠINAKEΣ!$A$190:$B$190</c:f>
              <c:numCache/>
            </c:numRef>
          </c:yVal>
          <c:smooth val="0"/>
        </c:ser>
        <c:ser>
          <c:idx val="0"/>
          <c:order val="3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ΠINAKEΣ!$A$195:$B$195</c:f>
              <c:numCache/>
            </c:numRef>
          </c:xVal>
          <c:yVal>
            <c:numRef>
              <c:f>ΠINAKEΣ!$A$196:$B$196</c:f>
              <c:numCache/>
            </c:numRef>
          </c:yVal>
          <c:smooth val="0"/>
        </c:ser>
        <c:ser>
          <c:idx val="1"/>
          <c:order val="3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ΠINAKEΣ!$C$195:$D$195</c:f>
              <c:numCache/>
            </c:numRef>
          </c:xVal>
          <c:yVal>
            <c:numRef>
              <c:f>ΠINAKEΣ!$C$196:$D$196</c:f>
              <c:numCache/>
            </c:numRef>
          </c:yVal>
          <c:smooth val="0"/>
        </c:ser>
        <c:ser>
          <c:idx val="2"/>
          <c:order val="3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ΠINAKEΣ!$E$195:$F$195</c:f>
              <c:numCache/>
            </c:numRef>
          </c:xVal>
          <c:yVal>
            <c:numRef>
              <c:f>ΠINAKEΣ!$E$196:$F$196</c:f>
              <c:numCache/>
            </c:numRef>
          </c:yVal>
          <c:smooth val="0"/>
        </c:ser>
        <c:ser>
          <c:idx val="30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ΠINAKEΣ!$A$204:$E$204</c:f>
              <c:numCache/>
            </c:numRef>
          </c:xVal>
          <c:yVal>
            <c:numRef>
              <c:f>ΠINAKEΣ!$A$205:$E$205</c:f>
              <c:numCache/>
            </c:numRef>
          </c:yVal>
          <c:smooth val="0"/>
        </c:ser>
        <c:ser>
          <c:idx val="31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ΠINAKEΣ!$A$201:$I$201</c:f>
              <c:numCache/>
            </c:numRef>
          </c:xVal>
          <c:yVal>
            <c:numRef>
              <c:f>ΠINAKEΣ!$A$202:$I$202</c:f>
              <c:numCache/>
            </c:numRef>
          </c:yVal>
          <c:smooth val="0"/>
        </c:ser>
        <c:axId val="31245290"/>
        <c:axId val="12772155"/>
      </c:scatterChart>
      <c:valAx>
        <c:axId val="3124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155"/>
        <c:crosses val="autoZero"/>
        <c:crossBetween val="midCat"/>
        <c:dispUnits/>
      </c:valAx>
      <c:valAx>
        <c:axId val="1277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2275"/>
          <c:w val="0.916"/>
          <c:h val="0.95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ΠINAKEΣ!#REF!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ΠINAKEΣ!#REF!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ΠINAKEΣ!$A$192:$B$192</c:f>
              <c:numCache/>
            </c:numRef>
          </c:xVal>
          <c:yVal>
            <c:numRef>
              <c:f>ΠINAKEΣ!$A$193:$B$193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ΠINAKEΣ!$C$192:$D$192</c:f>
              <c:numCache/>
            </c:numRef>
          </c:xVal>
          <c:yVal>
            <c:numRef>
              <c:f>ΠINAKEΣ!$C$193:$D$193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ΠINAKEΣ!$H$186:$I$186</c:f>
              <c:numCache/>
            </c:numRef>
          </c:xVal>
          <c:yVal>
            <c:numRef>
              <c:f>ΠINAKEΣ!$H$187:$I$187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ΠINAKEΣ!$J$186:$K$186</c:f>
              <c:numCache/>
            </c:numRef>
          </c:xVal>
          <c:yVal>
            <c:numRef>
              <c:f>ΠINAKEΣ!$J$187:$K$187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ΠINAKEΣ!$L$186:$M$186</c:f>
              <c:numCache/>
            </c:numRef>
          </c:xVal>
          <c:yVal>
            <c:numRef>
              <c:f>ΠINAKEΣ!$L$187:$M$187</c:f>
              <c:numCache/>
            </c:numRef>
          </c:yVal>
          <c:smooth val="0"/>
        </c:ser>
        <c:ser>
          <c:idx val="0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ΠINAKEΣ!$C$189:$D$189</c:f>
              <c:numCache/>
            </c:numRef>
          </c:xVal>
          <c:yVal>
            <c:numRef>
              <c:f>ΠINAKEΣ!$C$190:$D$190</c:f>
              <c:numCache/>
            </c:numRef>
          </c:yVal>
          <c:smooth val="0"/>
        </c:ser>
        <c:ser>
          <c:idx val="1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ΠINAKEΣ!$E$189:$F$189</c:f>
              <c:numCache/>
            </c:numRef>
          </c:xVal>
          <c:yVal>
            <c:numRef>
              <c:f>ΠINAKEΣ!$E$190:$F$190</c:f>
              <c:numCache/>
            </c:numRef>
          </c:yVal>
          <c:smooth val="0"/>
        </c:ser>
        <c:ser>
          <c:idx val="2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ΠINAKEΣ!$G$189:$H$189</c:f>
              <c:numCache/>
            </c:numRef>
          </c:xVal>
          <c:yVal>
            <c:numRef>
              <c:f>ΠINAKEΣ!$G$190:$H$190</c:f>
              <c:numCache/>
            </c:numRef>
          </c:yVal>
          <c:smooth val="0"/>
        </c:ser>
        <c:ser>
          <c:idx val="3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ΠINAKEΣ!$I$189:$J$189</c:f>
              <c:numCache/>
            </c:numRef>
          </c:xVal>
          <c:yVal>
            <c:numRef>
              <c:f>ΠINAKEΣ!$I$190:$J$190</c:f>
              <c:numCache/>
            </c:numRef>
          </c:yVal>
          <c:smooth val="0"/>
        </c:ser>
        <c:ser>
          <c:idx val="4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ΠINAKEΣ!$A$189:$B$189</c:f>
              <c:numCache/>
            </c:numRef>
          </c:xVal>
          <c:yVal>
            <c:numRef>
              <c:f>ΠINAKEΣ!$A$190:$B$190</c:f>
              <c:numCache/>
            </c:numRef>
          </c:yVal>
          <c:smooth val="0"/>
        </c:ser>
        <c:ser>
          <c:idx val="6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ΠINAKEΣ!$E$192:$F$192</c:f>
              <c:numCache/>
            </c:numRef>
          </c:xVal>
          <c:yVal>
            <c:numRef>
              <c:f>ΠINAKEΣ!$E$193:$F$193</c:f>
              <c:numCache/>
            </c:numRef>
          </c:yVal>
          <c:smooth val="0"/>
        </c:ser>
        <c:ser>
          <c:idx val="0"/>
          <c:order val="1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ΠINAKEΣ!$A$195:$B$195</c:f>
              <c:numCache/>
            </c:numRef>
          </c:xVal>
          <c:yVal>
            <c:numRef>
              <c:f>ΠINAKEΣ!$A$196:$B$196</c:f>
              <c:numCache/>
            </c:numRef>
          </c:yVal>
          <c:smooth val="0"/>
        </c:ser>
        <c:ser>
          <c:idx val="1"/>
          <c:order val="1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ΠINAKEΣ!$C$195:$D$195</c:f>
              <c:numCache/>
            </c:numRef>
          </c:xVal>
          <c:yVal>
            <c:numRef>
              <c:f>ΠINAKEΣ!$C$196:$D$196</c:f>
              <c:numCache/>
            </c:numRef>
          </c:yVal>
          <c:smooth val="0"/>
        </c:ser>
        <c:ser>
          <c:idx val="2"/>
          <c:order val="1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ΠINAKEΣ!$E$195:$F$195</c:f>
              <c:numCache/>
            </c:numRef>
          </c:xVal>
          <c:yVal>
            <c:numRef>
              <c:f>ΠINAKEΣ!$E$196:$F$196</c:f>
              <c:numCache/>
            </c:numRef>
          </c:yVal>
          <c:smooth val="0"/>
        </c:ser>
        <c:axId val="47840532"/>
        <c:axId val="27911605"/>
      </c:scatterChart>
      <c:val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1605"/>
        <c:crosses val="autoZero"/>
        <c:crossBetween val="midCat"/>
        <c:dispUnits/>
      </c:valAx>
      <c:valAx>
        <c:axId val="27911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0532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3"/>
          <c:w val="0.919"/>
          <c:h val="0.954"/>
        </c:manualLayout>
      </c:layout>
      <c:scatterChart>
        <c:scatterStyle val="lineMarker"/>
        <c:varyColors val="0"/>
        <c:ser>
          <c:idx val="1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ΠINAKEΣ!$A$3:$B$3</c:f>
              <c:numCache/>
            </c:numRef>
          </c:xVal>
          <c:yVal>
            <c:numRef>
              <c:f>ΠINAKEΣ!$A$4:$B$4</c:f>
              <c:numCache/>
            </c:numRef>
          </c:yVal>
          <c:smooth val="0"/>
        </c:ser>
        <c:ser>
          <c:idx val="13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ΠINAKEΣ!$C$3:$D$3</c:f>
              <c:numCache/>
            </c:numRef>
          </c:xVal>
          <c:yVal>
            <c:numRef>
              <c:f>ΠINAKEΣ!$C$4:$D$4</c:f>
              <c:numCache/>
            </c:numRef>
          </c:yVal>
          <c:smooth val="0"/>
        </c:ser>
        <c:ser>
          <c:idx val="14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ΠINAKEΣ!$E$3:$F$3</c:f>
              <c:numCache/>
            </c:numRef>
          </c:xVal>
          <c:yVal>
            <c:numRef>
              <c:f>ΠINAKEΣ!$E$4:$F$4</c:f>
              <c:numCache/>
            </c:numRef>
          </c:yVal>
          <c:smooth val="0"/>
        </c:ser>
        <c:ser>
          <c:idx val="1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ΠINAKEΣ!$I$3:$J$3</c:f>
              <c:numCache/>
            </c:numRef>
          </c:xVal>
          <c:yVal>
            <c:numRef>
              <c:f>ΠINAKEΣ!$I$4:$J$4</c:f>
              <c:numCache/>
            </c:numRef>
          </c:yVal>
          <c:smooth val="0"/>
        </c:ser>
        <c:ser>
          <c:idx val="17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ΠINAKEΣ!$K$3:$L$3</c:f>
              <c:numCache/>
            </c:numRef>
          </c:xVal>
          <c:yVal>
            <c:numRef>
              <c:f>ΠINAKEΣ!$K$4:$L$4</c:f>
              <c:numCache/>
            </c:numRef>
          </c:yVal>
          <c:smooth val="0"/>
        </c:ser>
        <c:ser>
          <c:idx val="18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ΠINAKEΣ!$M$3:$N$3</c:f>
              <c:numCache/>
            </c:numRef>
          </c:xVal>
          <c:yVal>
            <c:numRef>
              <c:f>ΠINAKEΣ!$M$4:$N$4</c:f>
              <c:numCache/>
            </c:numRef>
          </c:yVal>
          <c:smooth val="0"/>
        </c:ser>
        <c:ser>
          <c:idx val="19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ΠINAKEΣ!$O$3:$P$3</c:f>
              <c:numCache/>
            </c:numRef>
          </c:xVal>
          <c:yVal>
            <c:numRef>
              <c:f>ΠINAKEΣ!$O$4:$P$4</c:f>
              <c:numCache/>
            </c:numRef>
          </c:yVal>
          <c:smooth val="0"/>
        </c:ser>
        <c:ser>
          <c:idx val="23"/>
          <c:order val="7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ΠINAKEΣ!$S$6:$T$6</c:f>
              <c:numCache/>
            </c:numRef>
          </c:xVal>
          <c:yVal>
            <c:numRef>
              <c:f>ΠINAKEΣ!$S$7:$T$7</c:f>
              <c:numCache/>
            </c:numRef>
          </c:yVal>
          <c:smooth val="0"/>
        </c:ser>
        <c:ser>
          <c:idx val="24"/>
          <c:order val="8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ΠINAKEΣ!$H$186:$I$186</c:f>
              <c:numCache/>
            </c:numRef>
          </c:xVal>
          <c:yVal>
            <c:numRef>
              <c:f>ΠINAKEΣ!$H$187:$I$187</c:f>
              <c:numCache/>
            </c:numRef>
          </c:yVal>
          <c:smooth val="0"/>
        </c:ser>
        <c:ser>
          <c:idx val="25"/>
          <c:order val="9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ΠINAKEΣ!$J$186:$K$186</c:f>
              <c:numCache/>
            </c:numRef>
          </c:xVal>
          <c:yVal>
            <c:numRef>
              <c:f>ΠINAKEΣ!$J$187:$K$187</c:f>
              <c:numCache/>
            </c:numRef>
          </c:yVal>
          <c:smooth val="0"/>
        </c:ser>
        <c:ser>
          <c:idx val="26"/>
          <c:order val="10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ΠINAKEΣ!$L$186:$M$186</c:f>
              <c:numCache/>
            </c:numRef>
          </c:xVal>
          <c:yVal>
            <c:numRef>
              <c:f>ΠINAKEΣ!$L$187:$M$187</c:f>
              <c:numCache/>
            </c:numRef>
          </c:yVal>
          <c:smooth val="0"/>
        </c:ser>
        <c:ser>
          <c:idx val="0"/>
          <c:order val="1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ΠINAKEΣ!$A$192:$B$192</c:f>
              <c:numCache/>
            </c:numRef>
          </c:xVal>
          <c:yVal>
            <c:numRef>
              <c:f>ΠINAKEΣ!$A$193:$B$193</c:f>
              <c:numCache/>
            </c:numRef>
          </c:yVal>
          <c:smooth val="0"/>
        </c:ser>
        <c:ser>
          <c:idx val="1"/>
          <c:order val="1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ΠINAKEΣ!$C$192:$D$192</c:f>
              <c:numCache/>
            </c:numRef>
          </c:xVal>
          <c:yVal>
            <c:numRef>
              <c:f>ΠINAKEΣ!$C$193:$D$193</c:f>
              <c:numCache/>
            </c:numRef>
          </c:yVal>
          <c:smooth val="0"/>
        </c:ser>
        <c:ser>
          <c:idx val="2"/>
          <c:order val="13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ΠINAKEΣ!$E$192:$F$192</c:f>
              <c:numCache/>
            </c:numRef>
          </c:xVal>
          <c:yVal>
            <c:numRef>
              <c:f>ΠINAKEΣ!$E$193:$F$193</c:f>
              <c:numCache/>
            </c:numRef>
          </c:yVal>
          <c:smooth val="0"/>
        </c:ser>
        <c:ser>
          <c:idx val="3"/>
          <c:order val="14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ΠINAKEΣ!$G$192:$H$192</c:f>
              <c:numCache/>
            </c:numRef>
          </c:xVal>
          <c:yVal>
            <c:numRef>
              <c:f>ΠINAKEΣ!$G$193:$H$193</c:f>
              <c:numCache/>
            </c:numRef>
          </c:yVal>
          <c:smooth val="0"/>
        </c:ser>
        <c:ser>
          <c:idx val="4"/>
          <c:order val="1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ΠINAKEΣ!$A$195:$B$195</c:f>
              <c:numCache/>
            </c:numRef>
          </c:xVal>
          <c:yVal>
            <c:numRef>
              <c:f>ΠINAKEΣ!$A$196:$B$196</c:f>
              <c:numCache/>
            </c:numRef>
          </c:yVal>
          <c:smooth val="0"/>
        </c:ser>
        <c:ser>
          <c:idx val="5"/>
          <c:order val="16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ΠINAKEΣ!$C$195:$D$195</c:f>
              <c:numCache/>
            </c:numRef>
          </c:xVal>
          <c:yVal>
            <c:numRef>
              <c:f>ΠINAKEΣ!$C$196:$D$196</c:f>
              <c:numCache/>
            </c:numRef>
          </c:yVal>
          <c:smooth val="0"/>
        </c:ser>
        <c:ser>
          <c:idx val="6"/>
          <c:order val="17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ΠINAKEΣ!$E$195:$F$195</c:f>
              <c:numCache/>
            </c:numRef>
          </c:xVal>
          <c:yVal>
            <c:numRef>
              <c:f>ΠINAKEΣ!$E$196:$F$196</c:f>
              <c:numCache/>
            </c:numRef>
          </c:yVal>
          <c:smooth val="0"/>
        </c:ser>
        <c:ser>
          <c:idx val="7"/>
          <c:order val="18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ΠINAKEΣ!$A$189:$B$189</c:f>
              <c:numCache/>
            </c:numRef>
          </c:xVal>
          <c:yVal>
            <c:numRef>
              <c:f>ΠINAKEΣ!$A$190:$B$190</c:f>
              <c:numCache/>
            </c:numRef>
          </c:yVal>
          <c:smooth val="0"/>
        </c:ser>
        <c:ser>
          <c:idx val="8"/>
          <c:order val="19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ΠINAKEΣ!$C$189:$D$189</c:f>
              <c:numCache/>
            </c:numRef>
          </c:xVal>
          <c:yVal>
            <c:numRef>
              <c:f>ΠINAKEΣ!$C$190:$D$190</c:f>
              <c:numCache/>
            </c:numRef>
          </c:yVal>
          <c:smooth val="0"/>
        </c:ser>
        <c:ser>
          <c:idx val="9"/>
          <c:order val="2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ΠINAKEΣ!$E$189:$F$189</c:f>
              <c:numCache/>
            </c:numRef>
          </c:xVal>
          <c:yVal>
            <c:numRef>
              <c:f>ΠINAKEΣ!$E$190:$F$190</c:f>
              <c:numCache/>
            </c:numRef>
          </c:yVal>
          <c:smooth val="0"/>
        </c:ser>
        <c:ser>
          <c:idx val="10"/>
          <c:order val="2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ΠINAKEΣ!$G$189:$H$189</c:f>
              <c:numCache/>
            </c:numRef>
          </c:xVal>
          <c:yVal>
            <c:numRef>
              <c:f>ΠINAKEΣ!$G$190:$H$190</c:f>
              <c:numCache/>
            </c:numRef>
          </c:yVal>
          <c:smooth val="0"/>
        </c:ser>
        <c:ser>
          <c:idx val="11"/>
          <c:order val="2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ΠINAKEΣ!$I$189:$J$189</c:f>
              <c:numCache/>
            </c:numRef>
          </c:xVal>
          <c:yVal>
            <c:numRef>
              <c:f>ΠINAKEΣ!$I$190:$J$190</c:f>
              <c:numCache/>
            </c:numRef>
          </c:yVal>
          <c:smooth val="0"/>
        </c:ser>
        <c:ser>
          <c:idx val="15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ΠINAKEΣ!$A$204:$E$204</c:f>
              <c:numCache/>
            </c:numRef>
          </c:xVal>
          <c:yVal>
            <c:numRef>
              <c:f>ΠINAKEΣ!$A$205:$E$205</c:f>
              <c:numCache/>
            </c:numRef>
          </c:yVal>
          <c:smooth val="0"/>
        </c:ser>
        <c:ser>
          <c:idx val="0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ΠINAKEΣ!$A$198:$H$198</c:f>
              <c:numCache/>
            </c:numRef>
          </c:xVal>
          <c:yVal>
            <c:numRef>
              <c:f>ΠINAKEΣ!$A$199:$H$199</c:f>
              <c:numCache/>
            </c:numRef>
          </c:yVal>
          <c:smooth val="0"/>
        </c:ser>
        <c:ser>
          <c:idx val="0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ΠINAKEΣ!$A$201:$H$201</c:f>
              <c:numCache/>
            </c:numRef>
          </c:xVal>
          <c:yVal>
            <c:numRef>
              <c:f>ΠINAKEΣ!$A$202:$H$202</c:f>
              <c:numCache/>
            </c:numRef>
          </c:yVal>
          <c:smooth val="0"/>
        </c:ser>
        <c:ser>
          <c:idx val="20"/>
          <c:order val="26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ΠINAKEΣ!$E$3:$F$3</c:f>
              <c:numCache/>
            </c:numRef>
          </c:xVal>
          <c:yVal>
            <c:numRef>
              <c:f>ΠINAKEΣ!$E$4:$F$4</c:f>
              <c:numCache/>
            </c:numRef>
          </c:yVal>
          <c:smooth val="0"/>
        </c:ser>
        <c:ser>
          <c:idx val="21"/>
          <c:order val="2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ΠINAKEΣ!$G$3:$H$3</c:f>
              <c:numCache/>
            </c:numRef>
          </c:xVal>
          <c:yVal>
            <c:numRef>
              <c:f>ΠINAKEΣ!$G$4:$H$4</c:f>
              <c:numCache/>
            </c:numRef>
          </c:yVal>
          <c:smooth val="0"/>
        </c:ser>
        <c:axId val="49877854"/>
        <c:axId val="46247503"/>
      </c:scatterChart>
      <c:val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 val="autoZero"/>
        <c:crossBetween val="midCat"/>
        <c:dispUnits/>
      </c:valAx>
      <c:valAx>
        <c:axId val="46247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854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845"/>
          <c:w val="0.874"/>
          <c:h val="0.83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ΠINAKEΣ!$A$10:$B$10</c:f>
              <c:numCache/>
            </c:numRef>
          </c:xVal>
          <c:yVal>
            <c:numRef>
              <c:f>ΠINAKEΣ!$A$11:$B$11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ΠINAKEΣ!$C$10:$D$10</c:f>
              <c:numCache/>
            </c:numRef>
          </c:xVal>
          <c:yVal>
            <c:numRef>
              <c:f>ΠINAKEΣ!$C$11:$D$11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ΠINAKEΣ!$E$10:$F$10</c:f>
              <c:numCache/>
            </c:numRef>
          </c:xVal>
          <c:yVal>
            <c:numRef>
              <c:f>ΠINAKEΣ!$E$11:$F$11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ΠINAKEΣ!$G$10:$H$10</c:f>
              <c:numCache/>
            </c:numRef>
          </c:xVal>
          <c:yVal>
            <c:numRef>
              <c:f>ΠINAKEΣ!$G$11:$H$11</c:f>
              <c:numCache/>
            </c:numRef>
          </c:yVal>
          <c:smooth val="0"/>
        </c:ser>
        <c:axId val="13574344"/>
        <c:axId val="55060233"/>
      </c:scatterChart>
      <c:valAx>
        <c:axId val="135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60233"/>
        <c:crosses val="autoZero"/>
        <c:crossBetween val="midCat"/>
        <c:dispUnits/>
      </c:valAx>
      <c:valAx>
        <c:axId val="55060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344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685"/>
          <c:w val="0.86825"/>
          <c:h val="0.86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ΠINAKEΣ!$A$7:$B$7</c:f>
              <c:numCache/>
            </c:numRef>
          </c:xVal>
          <c:yVal>
            <c:numRef>
              <c:f>ΠINAKEΣ!$A$8:$B$8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ΠINAKEΣ!$C$7:$D$7</c:f>
              <c:numCache/>
            </c:numRef>
          </c:xVal>
          <c:yVal>
            <c:numRef>
              <c:f>ΠINAKEΣ!$C$8:$D$8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ΠINAKEΣ!$E$7:$F$7</c:f>
              <c:numCache/>
            </c:numRef>
          </c:xVal>
          <c:yVal>
            <c:numRef>
              <c:f>ΠINAKEΣ!$E$8:$F$8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ΠINAKEΣ!$G$7:$H$7</c:f>
              <c:numCache/>
            </c:numRef>
          </c:xVal>
          <c:yVal>
            <c:numRef>
              <c:f>ΠINAKEΣ!$G$8:$H$8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ΠINAKEΣ!$A$10:$B$10</c:f>
              <c:numCache/>
            </c:numRef>
          </c:xVal>
          <c:yVal>
            <c:numRef>
              <c:f>ΠINAKEΣ!$A$11:$B$11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ΠINAKEΣ!$C$10:$D$10</c:f>
              <c:numCache/>
            </c:numRef>
          </c:xVal>
          <c:yVal>
            <c:numRef>
              <c:f>ΠINAKEΣ!$C$11:$D$11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ΠINAKEΣ!$E$10:$F$10</c:f>
              <c:numCache/>
            </c:numRef>
          </c:xVal>
          <c:yVal>
            <c:numRef>
              <c:f>ΠINAKEΣ!$E$11:$F$11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ΠINAKEΣ!$G$10:$H$10</c:f>
              <c:numCache/>
            </c:numRef>
          </c:xVal>
          <c:yVal>
            <c:numRef>
              <c:f>ΠINAKEΣ!$G$11:$H$11</c:f>
              <c:numCache/>
            </c:numRef>
          </c:yVal>
          <c:smooth val="0"/>
        </c:ser>
        <c:axId val="25780050"/>
        <c:axId val="30693859"/>
      </c:scatterChart>
      <c:val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859"/>
        <c:crosses val="autoZero"/>
        <c:crossBetween val="midCat"/>
        <c:dispUnits/>
      </c:valAx>
      <c:valAx>
        <c:axId val="3069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95"/>
          <c:w val="0.909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OΠΛ. ΣKYP.'!$A$445:$A$458</c:f>
              <c:numCache/>
            </c:numRef>
          </c:cat>
          <c:val>
            <c:numRef>
              <c:f>'TOIXOΣ OΠΛ. ΣKYP.'!$D$445:$D$458</c:f>
              <c:numCache/>
            </c:numRef>
          </c:val>
        </c:ser>
        <c:overlap val="50"/>
        <c:gapWidth val="30"/>
        <c:axId val="63392902"/>
        <c:axId val="33665207"/>
      </c:barChart>
      <c:catAx>
        <c:axId val="633929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65207"/>
        <c:crosses val="autoZero"/>
        <c:auto val="1"/>
        <c:lblOffset val="100"/>
        <c:tickLblSkip val="2"/>
        <c:noMultiLvlLbl val="0"/>
      </c:catAx>
      <c:valAx>
        <c:axId val="3366520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92902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95"/>
          <c:w val="0.909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OΠΛ. ΣKYP.'!$A$506:$A$519</c:f>
              <c:numCache/>
            </c:numRef>
          </c:cat>
          <c:val>
            <c:numRef>
              <c:f>'TOIXOΣ OΠΛ. ΣKYP.'!$C$506:$C$519</c:f>
              <c:numCache/>
            </c:numRef>
          </c:val>
        </c:ser>
        <c:overlap val="50"/>
        <c:gapWidth val="30"/>
        <c:axId val="34551408"/>
        <c:axId val="42527217"/>
      </c:barChart>
      <c:catAx>
        <c:axId val="345514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27217"/>
        <c:crosses val="autoZero"/>
        <c:auto val="1"/>
        <c:lblOffset val="100"/>
        <c:tickLblSkip val="1"/>
        <c:noMultiLvlLbl val="0"/>
      </c:catAx>
      <c:valAx>
        <c:axId val="4252721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95"/>
          <c:w val="0.909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OΠΛ. ΣKYP.'!$A$506:$A$519</c:f>
              <c:numCache/>
            </c:numRef>
          </c:cat>
          <c:val>
            <c:numRef>
              <c:f>'TOIXOΣ OΠΛ. ΣKYP.'!$E$506:$E$519</c:f>
              <c:numCache/>
            </c:numRef>
          </c:val>
        </c:ser>
        <c:overlap val="50"/>
        <c:gapWidth val="30"/>
        <c:axId val="47200634"/>
        <c:axId val="22152523"/>
      </c:barChart>
      <c:catAx>
        <c:axId val="47200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2523"/>
        <c:crosses val="autoZero"/>
        <c:auto val="1"/>
        <c:lblOffset val="100"/>
        <c:tickLblSkip val="1"/>
        <c:noMultiLvlLbl val="0"/>
      </c:catAx>
      <c:valAx>
        <c:axId val="22152523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00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59"/>
          <c:w val="0.9095"/>
          <c:h val="0.88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ΠINAKEΣ!$A$7:$B$7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ΠINAKEΣ!$A$8:$B$8</c:f>
              <c:numCache>
                <c:ptCount val="2"/>
                <c:pt idx="0">
                  <c:v>1.2999999999999998</c:v>
                </c:pt>
                <c:pt idx="1">
                  <c:v>3.3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ΠINAKEΣ!$C$7:$D$7</c:f>
              <c:numCache>
                <c:ptCount val="2"/>
                <c:pt idx="0">
                  <c:v>0</c:v>
                </c:pt>
                <c:pt idx="1">
                  <c:v>0.7531189135520666</c:v>
                </c:pt>
              </c:numCache>
            </c:numRef>
          </c:xVal>
          <c:yVal>
            <c:numRef>
              <c:f>ΠINAKEΣ!$C$8:$D$8</c:f>
              <c:numCache>
                <c:ptCount val="2"/>
                <c:pt idx="0">
                  <c:v>3.3</c:v>
                </c:pt>
                <c:pt idx="1">
                  <c:v>3.3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0.0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ΠINAKEΣ!$E$7:$F$7</c:f>
              <c:numCache>
                <c:ptCount val="2"/>
                <c:pt idx="0">
                  <c:v>0.7531189135520666</c:v>
                </c:pt>
                <c:pt idx="1">
                  <c:v>10.550443355917734</c:v>
                </c:pt>
              </c:numCache>
            </c:numRef>
          </c:xVal>
          <c:yVal>
            <c:numRef>
              <c:f>ΠINAKEΣ!$E$8:$F$8</c:f>
              <c:numCache>
                <c:ptCount val="2"/>
                <c:pt idx="0">
                  <c:v>3.3</c:v>
                </c:pt>
                <c:pt idx="1">
                  <c:v>1.2999999999999998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ΠINAKEΣ!$G$7:$H$7</c:f>
              <c:numCache>
                <c:ptCount val="2"/>
                <c:pt idx="0">
                  <c:v>10.550443355917734</c:v>
                </c:pt>
                <c:pt idx="1">
                  <c:v>0</c:v>
                </c:pt>
              </c:numCache>
            </c:numRef>
          </c:xVal>
          <c:yVal>
            <c:numRef>
              <c:f>ΠINAKEΣ!$G$8:$H$8</c:f>
              <c:numCache>
                <c:ptCount val="2"/>
                <c:pt idx="0">
                  <c:v>1.2999999999999998</c:v>
                </c:pt>
                <c:pt idx="1">
                  <c:v>1.2999999999999998</c:v>
                </c:pt>
              </c:numCache>
            </c:numRef>
          </c:yVal>
          <c:smooth val="0"/>
        </c:ser>
        <c:axId val="65154980"/>
        <c:axId val="49523909"/>
      </c:scatterChart>
      <c:val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23909"/>
        <c:crosses val="autoZero"/>
        <c:crossBetween val="midCat"/>
        <c:dispUnits/>
      </c:valAx>
      <c:valAx>
        <c:axId val="49523909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4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59"/>
          <c:w val="0.90925"/>
          <c:h val="0.88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ΠINAKEΣ!$J$7:$K$7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ΠINAKEΣ!$J$8:$K$8</c:f>
              <c:numCach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ΠINAKEΣ!$L$7:$M$7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ΠINAKEΣ!$L$8:$M$8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ΠINAKEΣ!$N$7:$O$7</c:f>
              <c:numCache>
                <c:ptCount val="2"/>
                <c:pt idx="0">
                  <c:v>0</c:v>
                </c:pt>
                <c:pt idx="1">
                  <c:v>-43.20000000000001</c:v>
                </c:pt>
              </c:numCache>
            </c:numRef>
          </c:xVal>
          <c:yVal>
            <c:numRef>
              <c:f>ΠINAKEΣ!$N$8:$O$8</c:f>
              <c:numCach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ΠINAKEΣ!$P$7:$Q$7</c:f>
              <c:numCache>
                <c:ptCount val="2"/>
                <c:pt idx="0">
                  <c:v>-43.20000000000001</c:v>
                </c:pt>
                <c:pt idx="1">
                  <c:v>0</c:v>
                </c:pt>
              </c:numCache>
            </c:numRef>
          </c:xVal>
          <c:yVal>
            <c:numRef>
              <c:f>ΠINAKEΣ!$P$8:$Q$8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3061998"/>
        <c:axId val="52013663"/>
      </c:scatterChart>
      <c:val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13663"/>
        <c:crosses val="autoZero"/>
        <c:crossBetween val="midCat"/>
        <c:dispUnits/>
      </c:valAx>
      <c:valAx>
        <c:axId val="52013663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61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8375"/>
          <c:w val="0.9097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ΠINAKEΣ!$B$21:$C$21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ΠINAKEΣ!$B$22:$C$22</c:f>
              <c:numCache>
                <c:ptCount val="2"/>
                <c:pt idx="0">
                  <c:v>0</c:v>
                </c:pt>
                <c:pt idx="1">
                  <c:v>0.08792080079817295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ΠINAKEΣ!$D$21:$E$21</c:f>
              <c:numCache>
                <c:ptCount val="2"/>
                <c:pt idx="0">
                  <c:v>0</c:v>
                </c:pt>
                <c:pt idx="1">
                  <c:v>2.4000000000000004</c:v>
                </c:pt>
              </c:numCache>
            </c:numRef>
          </c:xVal>
          <c:yVal>
            <c:numRef>
              <c:f>ΠINAKEΣ!$D$22:$E$22</c:f>
              <c:numCache>
                <c:ptCount val="2"/>
                <c:pt idx="0">
                  <c:v>0.08792080079817295</c:v>
                </c:pt>
                <c:pt idx="1">
                  <c:v>0.020357617185594673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ΠINAKEΣ!$F$21:$G$21</c:f>
              <c:numCache>
                <c:ptCount val="2"/>
                <c:pt idx="0">
                  <c:v>2.4000000000000004</c:v>
                </c:pt>
                <c:pt idx="1">
                  <c:v>2.4000000000000004</c:v>
                </c:pt>
              </c:numCache>
            </c:numRef>
          </c:xVal>
          <c:yVal>
            <c:numRef>
              <c:f>ΠINAKEΣ!$F$22:$G$22</c:f>
              <c:numCache>
                <c:ptCount val="2"/>
                <c:pt idx="0">
                  <c:v>0.020357617185594673</c:v>
                </c:pt>
                <c:pt idx="1">
                  <c:v>0</c:v>
                </c:pt>
              </c:numCache>
            </c:numRef>
          </c:yVal>
          <c:smooth val="0"/>
        </c:ser>
        <c:axId val="65469784"/>
        <c:axId val="52357145"/>
      </c:scatterChart>
      <c:valAx>
        <c:axId val="65469784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57145"/>
        <c:crosses val="autoZero"/>
        <c:crossBetween val="midCat"/>
        <c:dispUnits/>
      </c:valAx>
      <c:valAx>
        <c:axId val="52357145"/>
        <c:scaling>
          <c:orientation val="maxMin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wmf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Relationship Id="rId14" Type="http://schemas.openxmlformats.org/officeDocument/2006/relationships/chart" Target="/xl/charts/chart33.xml" /><Relationship Id="rId15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462</xdr:row>
      <xdr:rowOff>0</xdr:rowOff>
    </xdr:from>
    <xdr:to>
      <xdr:col>4</xdr:col>
      <xdr:colOff>0</xdr:colOff>
      <xdr:row>481</xdr:row>
      <xdr:rowOff>0</xdr:rowOff>
    </xdr:to>
    <xdr:graphicFrame>
      <xdr:nvGraphicFramePr>
        <xdr:cNvPr id="1" name="Chart 70"/>
        <xdr:cNvGraphicFramePr/>
      </xdr:nvGraphicFramePr>
      <xdr:xfrm>
        <a:off x="0" y="87534750"/>
        <a:ext cx="27051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462</xdr:row>
      <xdr:rowOff>0</xdr:rowOff>
    </xdr:from>
    <xdr:to>
      <xdr:col>8</xdr:col>
      <xdr:colOff>0</xdr:colOff>
      <xdr:row>481</xdr:row>
      <xdr:rowOff>0</xdr:rowOff>
    </xdr:to>
    <xdr:graphicFrame>
      <xdr:nvGraphicFramePr>
        <xdr:cNvPr id="2" name="Chart 73"/>
        <xdr:cNvGraphicFramePr/>
      </xdr:nvGraphicFramePr>
      <xdr:xfrm>
        <a:off x="2705100" y="87534750"/>
        <a:ext cx="27051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462</xdr:row>
      <xdr:rowOff>0</xdr:rowOff>
    </xdr:from>
    <xdr:to>
      <xdr:col>12</xdr:col>
      <xdr:colOff>0</xdr:colOff>
      <xdr:row>481</xdr:row>
      <xdr:rowOff>0</xdr:rowOff>
    </xdr:to>
    <xdr:graphicFrame>
      <xdr:nvGraphicFramePr>
        <xdr:cNvPr id="3" name="Chart 74"/>
        <xdr:cNvGraphicFramePr/>
      </xdr:nvGraphicFramePr>
      <xdr:xfrm>
        <a:off x="5410200" y="87534750"/>
        <a:ext cx="27051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524</xdr:row>
      <xdr:rowOff>0</xdr:rowOff>
    </xdr:from>
    <xdr:to>
      <xdr:col>8</xdr:col>
      <xdr:colOff>0</xdr:colOff>
      <xdr:row>543</xdr:row>
      <xdr:rowOff>9525</xdr:rowOff>
    </xdr:to>
    <xdr:graphicFrame>
      <xdr:nvGraphicFramePr>
        <xdr:cNvPr id="4" name="Chart 76"/>
        <xdr:cNvGraphicFramePr/>
      </xdr:nvGraphicFramePr>
      <xdr:xfrm>
        <a:off x="2705100" y="98850450"/>
        <a:ext cx="2705100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524</xdr:row>
      <xdr:rowOff>0</xdr:rowOff>
    </xdr:from>
    <xdr:to>
      <xdr:col>4</xdr:col>
      <xdr:colOff>0</xdr:colOff>
      <xdr:row>543</xdr:row>
      <xdr:rowOff>9525</xdr:rowOff>
    </xdr:to>
    <xdr:graphicFrame>
      <xdr:nvGraphicFramePr>
        <xdr:cNvPr id="5" name="Chart 79"/>
        <xdr:cNvGraphicFramePr/>
      </xdr:nvGraphicFramePr>
      <xdr:xfrm>
        <a:off x="0" y="98850450"/>
        <a:ext cx="2705100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524</xdr:row>
      <xdr:rowOff>0</xdr:rowOff>
    </xdr:from>
    <xdr:to>
      <xdr:col>12</xdr:col>
      <xdr:colOff>0</xdr:colOff>
      <xdr:row>543</xdr:row>
      <xdr:rowOff>9525</xdr:rowOff>
    </xdr:to>
    <xdr:graphicFrame>
      <xdr:nvGraphicFramePr>
        <xdr:cNvPr id="6" name="Chart 80"/>
        <xdr:cNvGraphicFramePr/>
      </xdr:nvGraphicFramePr>
      <xdr:xfrm>
        <a:off x="5410200" y="98850450"/>
        <a:ext cx="2705100" cy="3267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47625</xdr:colOff>
      <xdr:row>3</xdr:row>
      <xdr:rowOff>152400</xdr:rowOff>
    </xdr:from>
    <xdr:to>
      <xdr:col>11</xdr:col>
      <xdr:colOff>590550</xdr:colOff>
      <xdr:row>25</xdr:row>
      <xdr:rowOff>142875</xdr:rowOff>
    </xdr:to>
    <xdr:pic>
      <xdr:nvPicPr>
        <xdr:cNvPr id="7" name="Picture 1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981075"/>
          <a:ext cx="39243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123</xdr:row>
      <xdr:rowOff>0</xdr:rowOff>
    </xdr:from>
    <xdr:to>
      <xdr:col>11</xdr:col>
      <xdr:colOff>666750</xdr:colOff>
      <xdr:row>132</xdr:row>
      <xdr:rowOff>0</xdr:rowOff>
    </xdr:to>
    <xdr:graphicFrame>
      <xdr:nvGraphicFramePr>
        <xdr:cNvPr id="8" name="Chart 147"/>
        <xdr:cNvGraphicFramePr/>
      </xdr:nvGraphicFramePr>
      <xdr:xfrm>
        <a:off x="5410200" y="24022050"/>
        <a:ext cx="2695575" cy="171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220</xdr:row>
      <xdr:rowOff>0</xdr:rowOff>
    </xdr:from>
    <xdr:to>
      <xdr:col>11</xdr:col>
      <xdr:colOff>657225</xdr:colOff>
      <xdr:row>229</xdr:row>
      <xdr:rowOff>0</xdr:rowOff>
    </xdr:to>
    <xdr:graphicFrame>
      <xdr:nvGraphicFramePr>
        <xdr:cNvPr id="9" name="Chart 148"/>
        <xdr:cNvGraphicFramePr/>
      </xdr:nvGraphicFramePr>
      <xdr:xfrm>
        <a:off x="5410200" y="41805225"/>
        <a:ext cx="2686050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274</xdr:row>
      <xdr:rowOff>0</xdr:rowOff>
    </xdr:from>
    <xdr:to>
      <xdr:col>12</xdr:col>
      <xdr:colOff>0</xdr:colOff>
      <xdr:row>281</xdr:row>
      <xdr:rowOff>0</xdr:rowOff>
    </xdr:to>
    <xdr:graphicFrame>
      <xdr:nvGraphicFramePr>
        <xdr:cNvPr id="10" name="Chart 149"/>
        <xdr:cNvGraphicFramePr/>
      </xdr:nvGraphicFramePr>
      <xdr:xfrm>
        <a:off x="5410200" y="52835175"/>
        <a:ext cx="2705100" cy="1200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297</xdr:row>
      <xdr:rowOff>0</xdr:rowOff>
    </xdr:from>
    <xdr:to>
      <xdr:col>12</xdr:col>
      <xdr:colOff>0</xdr:colOff>
      <xdr:row>304</xdr:row>
      <xdr:rowOff>0</xdr:rowOff>
    </xdr:to>
    <xdr:graphicFrame>
      <xdr:nvGraphicFramePr>
        <xdr:cNvPr id="11" name="Chart 150"/>
        <xdr:cNvGraphicFramePr/>
      </xdr:nvGraphicFramePr>
      <xdr:xfrm>
        <a:off x="5410200" y="57007125"/>
        <a:ext cx="2705100" cy="1333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386</xdr:row>
      <xdr:rowOff>0</xdr:rowOff>
    </xdr:from>
    <xdr:to>
      <xdr:col>12</xdr:col>
      <xdr:colOff>0</xdr:colOff>
      <xdr:row>393</xdr:row>
      <xdr:rowOff>9525</xdr:rowOff>
    </xdr:to>
    <xdr:graphicFrame>
      <xdr:nvGraphicFramePr>
        <xdr:cNvPr id="12" name="Chart 151"/>
        <xdr:cNvGraphicFramePr/>
      </xdr:nvGraphicFramePr>
      <xdr:xfrm>
        <a:off x="5410200" y="73313925"/>
        <a:ext cx="2705100" cy="1209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591</xdr:row>
      <xdr:rowOff>0</xdr:rowOff>
    </xdr:from>
    <xdr:to>
      <xdr:col>12</xdr:col>
      <xdr:colOff>0</xdr:colOff>
      <xdr:row>601</xdr:row>
      <xdr:rowOff>0</xdr:rowOff>
    </xdr:to>
    <xdr:graphicFrame>
      <xdr:nvGraphicFramePr>
        <xdr:cNvPr id="13" name="Chart 152"/>
        <xdr:cNvGraphicFramePr/>
      </xdr:nvGraphicFramePr>
      <xdr:xfrm>
        <a:off x="4733925" y="110794800"/>
        <a:ext cx="3381375" cy="1714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605</xdr:row>
      <xdr:rowOff>0</xdr:rowOff>
    </xdr:from>
    <xdr:to>
      <xdr:col>12</xdr:col>
      <xdr:colOff>0</xdr:colOff>
      <xdr:row>615</xdr:row>
      <xdr:rowOff>0</xdr:rowOff>
    </xdr:to>
    <xdr:graphicFrame>
      <xdr:nvGraphicFramePr>
        <xdr:cNvPr id="14" name="Chart 153"/>
        <xdr:cNvGraphicFramePr/>
      </xdr:nvGraphicFramePr>
      <xdr:xfrm>
        <a:off x="4733925" y="113271300"/>
        <a:ext cx="3381375" cy="1714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620</xdr:row>
      <xdr:rowOff>0</xdr:rowOff>
    </xdr:from>
    <xdr:to>
      <xdr:col>12</xdr:col>
      <xdr:colOff>0</xdr:colOff>
      <xdr:row>630</xdr:row>
      <xdr:rowOff>0</xdr:rowOff>
    </xdr:to>
    <xdr:graphicFrame>
      <xdr:nvGraphicFramePr>
        <xdr:cNvPr id="15" name="Chart 154"/>
        <xdr:cNvGraphicFramePr/>
      </xdr:nvGraphicFramePr>
      <xdr:xfrm>
        <a:off x="4733925" y="115919250"/>
        <a:ext cx="3381375" cy="1714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633</xdr:row>
      <xdr:rowOff>0</xdr:rowOff>
    </xdr:from>
    <xdr:to>
      <xdr:col>12</xdr:col>
      <xdr:colOff>0</xdr:colOff>
      <xdr:row>643</xdr:row>
      <xdr:rowOff>0</xdr:rowOff>
    </xdr:to>
    <xdr:graphicFrame>
      <xdr:nvGraphicFramePr>
        <xdr:cNvPr id="16" name="Chart 156"/>
        <xdr:cNvGraphicFramePr/>
      </xdr:nvGraphicFramePr>
      <xdr:xfrm>
        <a:off x="4733925" y="118224300"/>
        <a:ext cx="3381375" cy="1714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669</xdr:row>
      <xdr:rowOff>28575</xdr:rowOff>
    </xdr:from>
    <xdr:to>
      <xdr:col>11</xdr:col>
      <xdr:colOff>161925</xdr:colOff>
      <xdr:row>669</xdr:row>
      <xdr:rowOff>28575</xdr:rowOff>
    </xdr:to>
    <xdr:sp>
      <xdr:nvSpPr>
        <xdr:cNvPr id="17" name="Line 189"/>
        <xdr:cNvSpPr>
          <a:spLocks/>
        </xdr:cNvSpPr>
      </xdr:nvSpPr>
      <xdr:spPr>
        <a:xfrm>
          <a:off x="5429250" y="124787025"/>
          <a:ext cx="2171700" cy="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Μοντέρνα"/>
              <a:ea typeface="Μοντέρνα"/>
              <a:cs typeface="Μοντέρνα"/>
            </a:rPr>
            <a:t/>
          </a:r>
        </a:p>
      </xdr:txBody>
    </xdr:sp>
    <xdr:clientData/>
  </xdr:twoCellAnchor>
  <xdr:twoCellAnchor>
    <xdr:from>
      <xdr:col>8</xdr:col>
      <xdr:colOff>47625</xdr:colOff>
      <xdr:row>673</xdr:row>
      <xdr:rowOff>28575</xdr:rowOff>
    </xdr:from>
    <xdr:to>
      <xdr:col>11</xdr:col>
      <xdr:colOff>171450</xdr:colOff>
      <xdr:row>673</xdr:row>
      <xdr:rowOff>28575</xdr:rowOff>
    </xdr:to>
    <xdr:sp>
      <xdr:nvSpPr>
        <xdr:cNvPr id="18" name="Line 190"/>
        <xdr:cNvSpPr>
          <a:spLocks/>
        </xdr:cNvSpPr>
      </xdr:nvSpPr>
      <xdr:spPr>
        <a:xfrm>
          <a:off x="5457825" y="125472825"/>
          <a:ext cx="2152650" cy="0"/>
        </a:xfrm>
        <a:prstGeom prst="line">
          <a:avLst/>
        </a:prstGeom>
        <a:noFill/>
        <a:ln w="3810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Μοντέρνα"/>
              <a:ea typeface="Μοντέρνα"/>
              <a:cs typeface="Μοντέρνα"/>
            </a:rPr>
            <a:t/>
          </a:r>
        </a:p>
      </xdr:txBody>
    </xdr:sp>
    <xdr:clientData/>
  </xdr:twoCellAnchor>
  <xdr:twoCellAnchor>
    <xdr:from>
      <xdr:col>8</xdr:col>
      <xdr:colOff>9525</xdr:colOff>
      <xdr:row>677</xdr:row>
      <xdr:rowOff>38100</xdr:rowOff>
    </xdr:from>
    <xdr:to>
      <xdr:col>11</xdr:col>
      <xdr:colOff>152400</xdr:colOff>
      <xdr:row>677</xdr:row>
      <xdr:rowOff>38100</xdr:rowOff>
    </xdr:to>
    <xdr:sp>
      <xdr:nvSpPr>
        <xdr:cNvPr id="19" name="Line 191"/>
        <xdr:cNvSpPr>
          <a:spLocks/>
        </xdr:cNvSpPr>
      </xdr:nvSpPr>
      <xdr:spPr>
        <a:xfrm>
          <a:off x="5419725" y="126168150"/>
          <a:ext cx="2171700" cy="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Μοντέρνα"/>
              <a:ea typeface="Μοντέρνα"/>
              <a:cs typeface="Μοντέρνα"/>
            </a:rPr>
            <a:t/>
          </a:r>
        </a:p>
      </xdr:txBody>
    </xdr:sp>
    <xdr:clientData/>
  </xdr:twoCellAnchor>
  <xdr:twoCellAnchor>
    <xdr:from>
      <xdr:col>8</xdr:col>
      <xdr:colOff>9525</xdr:colOff>
      <xdr:row>681</xdr:row>
      <xdr:rowOff>28575</xdr:rowOff>
    </xdr:from>
    <xdr:to>
      <xdr:col>11</xdr:col>
      <xdr:colOff>152400</xdr:colOff>
      <xdr:row>681</xdr:row>
      <xdr:rowOff>28575</xdr:rowOff>
    </xdr:to>
    <xdr:sp>
      <xdr:nvSpPr>
        <xdr:cNvPr id="20" name="Line 192"/>
        <xdr:cNvSpPr>
          <a:spLocks/>
        </xdr:cNvSpPr>
      </xdr:nvSpPr>
      <xdr:spPr>
        <a:xfrm>
          <a:off x="5419725" y="126844425"/>
          <a:ext cx="21717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Μοντέρνα"/>
              <a:ea typeface="Μοντέρνα"/>
              <a:cs typeface="Μοντέρνα"/>
            </a:rPr>
            <a:t/>
          </a:r>
        </a:p>
      </xdr:txBody>
    </xdr:sp>
    <xdr:clientData/>
  </xdr:twoCellAnchor>
  <xdr:twoCellAnchor>
    <xdr:from>
      <xdr:col>8</xdr:col>
      <xdr:colOff>19050</xdr:colOff>
      <xdr:row>689</xdr:row>
      <xdr:rowOff>38100</xdr:rowOff>
    </xdr:from>
    <xdr:to>
      <xdr:col>11</xdr:col>
      <xdr:colOff>161925</xdr:colOff>
      <xdr:row>689</xdr:row>
      <xdr:rowOff>38100</xdr:rowOff>
    </xdr:to>
    <xdr:sp>
      <xdr:nvSpPr>
        <xdr:cNvPr id="21" name="Line 193"/>
        <xdr:cNvSpPr>
          <a:spLocks/>
        </xdr:cNvSpPr>
      </xdr:nvSpPr>
      <xdr:spPr>
        <a:xfrm>
          <a:off x="5429250" y="128225550"/>
          <a:ext cx="2171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Μοντέρνα"/>
              <a:ea typeface="Μοντέρνα"/>
              <a:cs typeface="Μοντέρνα"/>
            </a:rPr>
            <a:t/>
          </a:r>
        </a:p>
      </xdr:txBody>
    </xdr:sp>
    <xdr:clientData/>
  </xdr:twoCellAnchor>
  <xdr:twoCellAnchor>
    <xdr:from>
      <xdr:col>8</xdr:col>
      <xdr:colOff>57150</xdr:colOff>
      <xdr:row>685</xdr:row>
      <xdr:rowOff>38100</xdr:rowOff>
    </xdr:from>
    <xdr:to>
      <xdr:col>11</xdr:col>
      <xdr:colOff>200025</xdr:colOff>
      <xdr:row>685</xdr:row>
      <xdr:rowOff>38100</xdr:rowOff>
    </xdr:to>
    <xdr:sp>
      <xdr:nvSpPr>
        <xdr:cNvPr id="22" name="Line 196"/>
        <xdr:cNvSpPr>
          <a:spLocks/>
        </xdr:cNvSpPr>
      </xdr:nvSpPr>
      <xdr:spPr>
        <a:xfrm>
          <a:off x="5467350" y="127539750"/>
          <a:ext cx="2171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Μοντέρνα"/>
              <a:ea typeface="Μοντέρνα"/>
              <a:cs typeface="Μοντέρνα"/>
            </a:rPr>
            <a:t/>
          </a:r>
        </a:p>
      </xdr:txBody>
    </xdr:sp>
    <xdr:clientData/>
  </xdr:twoCellAnchor>
  <xdr:twoCellAnchor>
    <xdr:from>
      <xdr:col>0</xdr:col>
      <xdr:colOff>66675</xdr:colOff>
      <xdr:row>666</xdr:row>
      <xdr:rowOff>104775</xdr:rowOff>
    </xdr:from>
    <xdr:to>
      <xdr:col>7</xdr:col>
      <xdr:colOff>381000</xdr:colOff>
      <xdr:row>696</xdr:row>
      <xdr:rowOff>9525</xdr:rowOff>
    </xdr:to>
    <xdr:graphicFrame>
      <xdr:nvGraphicFramePr>
        <xdr:cNvPr id="23" name="Chart 198"/>
        <xdr:cNvGraphicFramePr/>
      </xdr:nvGraphicFramePr>
      <xdr:xfrm>
        <a:off x="66675" y="124348875"/>
        <a:ext cx="5048250" cy="5048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10</xdr:col>
      <xdr:colOff>0</xdr:colOff>
      <xdr:row>59</xdr:row>
      <xdr:rowOff>0</xdr:rowOff>
    </xdr:to>
    <xdr:graphicFrame>
      <xdr:nvGraphicFramePr>
        <xdr:cNvPr id="24" name="Chart 202"/>
        <xdr:cNvGraphicFramePr/>
      </xdr:nvGraphicFramePr>
      <xdr:xfrm>
        <a:off x="1352550" y="6667500"/>
        <a:ext cx="5410200" cy="4953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666750</xdr:colOff>
      <xdr:row>153</xdr:row>
      <xdr:rowOff>0</xdr:rowOff>
    </xdr:to>
    <xdr:graphicFrame>
      <xdr:nvGraphicFramePr>
        <xdr:cNvPr id="25" name="Chart 204"/>
        <xdr:cNvGraphicFramePr/>
      </xdr:nvGraphicFramePr>
      <xdr:xfrm>
        <a:off x="5410200" y="28079700"/>
        <a:ext cx="26955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134</xdr:row>
      <xdr:rowOff>0</xdr:rowOff>
    </xdr:from>
    <xdr:to>
      <xdr:col>11</xdr:col>
      <xdr:colOff>666750</xdr:colOff>
      <xdr:row>142</xdr:row>
      <xdr:rowOff>0</xdr:rowOff>
    </xdr:to>
    <xdr:graphicFrame>
      <xdr:nvGraphicFramePr>
        <xdr:cNvPr id="26" name="Chart 205"/>
        <xdr:cNvGraphicFramePr/>
      </xdr:nvGraphicFramePr>
      <xdr:xfrm>
        <a:off x="5410200" y="26136600"/>
        <a:ext cx="2695575" cy="1524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9</xdr:row>
      <xdr:rowOff>0</xdr:rowOff>
    </xdr:from>
    <xdr:to>
      <xdr:col>24</xdr:col>
      <xdr:colOff>57150</xdr:colOff>
      <xdr:row>24</xdr:row>
      <xdr:rowOff>28575</xdr:rowOff>
    </xdr:to>
    <xdr:graphicFrame>
      <xdr:nvGraphicFramePr>
        <xdr:cNvPr id="1" name="Chart 3073"/>
        <xdr:cNvGraphicFramePr/>
      </xdr:nvGraphicFramePr>
      <xdr:xfrm>
        <a:off x="9591675" y="1438275"/>
        <a:ext cx="30194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11</xdr:row>
      <xdr:rowOff>66675</xdr:rowOff>
    </xdr:from>
    <xdr:to>
      <xdr:col>3</xdr:col>
      <xdr:colOff>476250</xdr:colOff>
      <xdr:row>18</xdr:row>
      <xdr:rowOff>57150</xdr:rowOff>
    </xdr:to>
    <xdr:graphicFrame>
      <xdr:nvGraphicFramePr>
        <xdr:cNvPr id="2" name="Chart 3084"/>
        <xdr:cNvGraphicFramePr/>
      </xdr:nvGraphicFramePr>
      <xdr:xfrm>
        <a:off x="85725" y="1838325"/>
        <a:ext cx="196215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514350</xdr:colOff>
      <xdr:row>10</xdr:row>
      <xdr:rowOff>0</xdr:rowOff>
    </xdr:from>
    <xdr:to>
      <xdr:col>16</xdr:col>
      <xdr:colOff>514350</xdr:colOff>
      <xdr:row>17</xdr:row>
      <xdr:rowOff>133350</xdr:rowOff>
    </xdr:to>
    <xdr:graphicFrame>
      <xdr:nvGraphicFramePr>
        <xdr:cNvPr id="3" name="Chart 3088"/>
        <xdr:cNvGraphicFramePr/>
      </xdr:nvGraphicFramePr>
      <xdr:xfrm>
        <a:off x="6800850" y="1600200"/>
        <a:ext cx="2095500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23</xdr:row>
      <xdr:rowOff>19050</xdr:rowOff>
    </xdr:from>
    <xdr:to>
      <xdr:col>6</xdr:col>
      <xdr:colOff>9525</xdr:colOff>
      <xdr:row>32</xdr:row>
      <xdr:rowOff>0</xdr:rowOff>
    </xdr:to>
    <xdr:graphicFrame>
      <xdr:nvGraphicFramePr>
        <xdr:cNvPr id="4" name="Chart 3092"/>
        <xdr:cNvGraphicFramePr/>
      </xdr:nvGraphicFramePr>
      <xdr:xfrm>
        <a:off x="1057275" y="3667125"/>
        <a:ext cx="209550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504825</xdr:colOff>
      <xdr:row>23</xdr:row>
      <xdr:rowOff>0</xdr:rowOff>
    </xdr:from>
    <xdr:to>
      <xdr:col>12</xdr:col>
      <xdr:colOff>504825</xdr:colOff>
      <xdr:row>31</xdr:row>
      <xdr:rowOff>133350</xdr:rowOff>
    </xdr:to>
    <xdr:graphicFrame>
      <xdr:nvGraphicFramePr>
        <xdr:cNvPr id="5" name="Chart 3098"/>
        <xdr:cNvGraphicFramePr/>
      </xdr:nvGraphicFramePr>
      <xdr:xfrm>
        <a:off x="4695825" y="3648075"/>
        <a:ext cx="2095500" cy="1381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514350</xdr:colOff>
      <xdr:row>46</xdr:row>
      <xdr:rowOff>133350</xdr:rowOff>
    </xdr:to>
    <xdr:graphicFrame>
      <xdr:nvGraphicFramePr>
        <xdr:cNvPr id="6" name="Chart 3101"/>
        <xdr:cNvGraphicFramePr/>
      </xdr:nvGraphicFramePr>
      <xdr:xfrm>
        <a:off x="1047750" y="6000750"/>
        <a:ext cx="2085975" cy="137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5</xdr:col>
      <xdr:colOff>514350</xdr:colOff>
      <xdr:row>61</xdr:row>
      <xdr:rowOff>133350</xdr:rowOff>
    </xdr:to>
    <xdr:graphicFrame>
      <xdr:nvGraphicFramePr>
        <xdr:cNvPr id="7" name="Chart 3104"/>
        <xdr:cNvGraphicFramePr/>
      </xdr:nvGraphicFramePr>
      <xdr:xfrm>
        <a:off x="1047750" y="8334375"/>
        <a:ext cx="2085975" cy="137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514350</xdr:colOff>
      <xdr:row>53</xdr:row>
      <xdr:rowOff>0</xdr:rowOff>
    </xdr:from>
    <xdr:to>
      <xdr:col>13</xdr:col>
      <xdr:colOff>0</xdr:colOff>
      <xdr:row>62</xdr:row>
      <xdr:rowOff>0</xdr:rowOff>
    </xdr:to>
    <xdr:graphicFrame>
      <xdr:nvGraphicFramePr>
        <xdr:cNvPr id="8" name="Chart 3107"/>
        <xdr:cNvGraphicFramePr/>
      </xdr:nvGraphicFramePr>
      <xdr:xfrm>
        <a:off x="4705350" y="8334375"/>
        <a:ext cx="2105025" cy="139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68</xdr:row>
      <xdr:rowOff>19050</xdr:rowOff>
    </xdr:from>
    <xdr:to>
      <xdr:col>6</xdr:col>
      <xdr:colOff>9525</xdr:colOff>
      <xdr:row>77</xdr:row>
      <xdr:rowOff>133350</xdr:rowOff>
    </xdr:to>
    <xdr:graphicFrame>
      <xdr:nvGraphicFramePr>
        <xdr:cNvPr id="9" name="Chart 3109"/>
        <xdr:cNvGraphicFramePr/>
      </xdr:nvGraphicFramePr>
      <xdr:xfrm>
        <a:off x="1047750" y="10696575"/>
        <a:ext cx="2105025" cy="1504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68</xdr:row>
      <xdr:rowOff>19050</xdr:rowOff>
    </xdr:from>
    <xdr:to>
      <xdr:col>13</xdr:col>
      <xdr:colOff>9525</xdr:colOff>
      <xdr:row>78</xdr:row>
      <xdr:rowOff>0</xdr:rowOff>
    </xdr:to>
    <xdr:graphicFrame>
      <xdr:nvGraphicFramePr>
        <xdr:cNvPr id="10" name="Chart 3112"/>
        <xdr:cNvGraphicFramePr/>
      </xdr:nvGraphicFramePr>
      <xdr:xfrm>
        <a:off x="4714875" y="10696575"/>
        <a:ext cx="2105025" cy="1524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209550</xdr:colOff>
      <xdr:row>155</xdr:row>
      <xdr:rowOff>28575</xdr:rowOff>
    </xdr:from>
    <xdr:to>
      <xdr:col>5</xdr:col>
      <xdr:colOff>371475</xdr:colOff>
      <xdr:row>181</xdr:row>
      <xdr:rowOff>0</xdr:rowOff>
    </xdr:to>
    <xdr:graphicFrame>
      <xdr:nvGraphicFramePr>
        <xdr:cNvPr id="11" name="Chart 3117"/>
        <xdr:cNvGraphicFramePr/>
      </xdr:nvGraphicFramePr>
      <xdr:xfrm>
        <a:off x="209550" y="24650700"/>
        <a:ext cx="278130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9525</xdr:colOff>
      <xdr:row>154</xdr:row>
      <xdr:rowOff>133350</xdr:rowOff>
    </xdr:from>
    <xdr:to>
      <xdr:col>17</xdr:col>
      <xdr:colOff>323850</xdr:colOff>
      <xdr:row>181</xdr:row>
      <xdr:rowOff>19050</xdr:rowOff>
    </xdr:to>
    <xdr:graphicFrame>
      <xdr:nvGraphicFramePr>
        <xdr:cNvPr id="12" name="Chart 3132"/>
        <xdr:cNvGraphicFramePr/>
      </xdr:nvGraphicFramePr>
      <xdr:xfrm>
        <a:off x="6296025" y="24612600"/>
        <a:ext cx="2933700" cy="4010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155</xdr:row>
      <xdr:rowOff>0</xdr:rowOff>
    </xdr:from>
    <xdr:to>
      <xdr:col>11</xdr:col>
      <xdr:colOff>438150</xdr:colOff>
      <xdr:row>181</xdr:row>
      <xdr:rowOff>0</xdr:rowOff>
    </xdr:to>
    <xdr:graphicFrame>
      <xdr:nvGraphicFramePr>
        <xdr:cNvPr id="13" name="Chart 3153"/>
        <xdr:cNvGraphicFramePr/>
      </xdr:nvGraphicFramePr>
      <xdr:xfrm>
        <a:off x="3143250" y="24631650"/>
        <a:ext cx="3057525" cy="3971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142875</xdr:colOff>
      <xdr:row>11</xdr:row>
      <xdr:rowOff>57150</xdr:rowOff>
    </xdr:from>
    <xdr:to>
      <xdr:col>8</xdr:col>
      <xdr:colOff>19050</xdr:colOff>
      <xdr:row>18</xdr:row>
      <xdr:rowOff>104775</xdr:rowOff>
    </xdr:to>
    <xdr:graphicFrame>
      <xdr:nvGraphicFramePr>
        <xdr:cNvPr id="14" name="Chart 3179"/>
        <xdr:cNvGraphicFramePr/>
      </xdr:nvGraphicFramePr>
      <xdr:xfrm>
        <a:off x="2238375" y="1819275"/>
        <a:ext cx="1971675" cy="1133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361950</xdr:colOff>
      <xdr:row>9</xdr:row>
      <xdr:rowOff>142875</xdr:rowOff>
    </xdr:from>
    <xdr:to>
      <xdr:col>12</xdr:col>
      <xdr:colOff>171450</xdr:colOff>
      <xdr:row>18</xdr:row>
      <xdr:rowOff>114300</xdr:rowOff>
    </xdr:to>
    <xdr:graphicFrame>
      <xdr:nvGraphicFramePr>
        <xdr:cNvPr id="15" name="Chart 3183"/>
        <xdr:cNvGraphicFramePr/>
      </xdr:nvGraphicFramePr>
      <xdr:xfrm>
        <a:off x="4552950" y="1581150"/>
        <a:ext cx="1905000" cy="1381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89"/>
  <sheetViews>
    <sheetView tabSelected="1" zoomScalePageLayoutView="0" workbookViewId="0" topLeftCell="A1">
      <selection activeCell="F5" sqref="F5"/>
    </sheetView>
  </sheetViews>
  <sheetFormatPr defaultColWidth="10.875" defaultRowHeight="13.5" customHeight="1"/>
  <cols>
    <col min="1" max="17" width="8.875" style="2" customWidth="1"/>
    <col min="18" max="18" width="8.375" style="2" customWidth="1"/>
    <col min="19" max="19" width="8.00390625" style="2" customWidth="1"/>
    <col min="20" max="33" width="8.875" style="2" customWidth="1"/>
    <col min="34" max="38" width="5.875" style="2" customWidth="1"/>
    <col min="39" max="16384" width="10.875" style="2" customWidth="1"/>
  </cols>
  <sheetData>
    <row r="1" spans="1:65" ht="24.75" customHeight="1">
      <c r="A1" s="316" t="s">
        <v>383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s="155" customFormat="1" ht="24.75" customHeight="1">
      <c r="A2" s="322" t="s">
        <v>46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5.75" customHeight="1">
      <c r="A3" s="313" t="s">
        <v>518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19.5" customHeight="1">
      <c r="A4" s="257" t="s">
        <v>57</v>
      </c>
      <c r="B4" s="292"/>
      <c r="C4" s="292"/>
      <c r="D4" s="259"/>
      <c r="E4" s="292"/>
      <c r="F4" s="293"/>
      <c r="G4" s="25"/>
      <c r="H4" s="25"/>
      <c r="I4" s="25"/>
      <c r="J4" s="25"/>
      <c r="K4" s="25"/>
      <c r="L4" s="2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5" customHeight="1">
      <c r="A5" s="26" t="s">
        <v>315</v>
      </c>
      <c r="B5" s="25"/>
      <c r="C5" s="25"/>
      <c r="D5" s="27"/>
      <c r="E5" s="150" t="s">
        <v>501</v>
      </c>
      <c r="F5" s="302">
        <v>3.3</v>
      </c>
      <c r="G5" s="25"/>
      <c r="H5" s="25"/>
      <c r="I5" s="25"/>
      <c r="J5" s="25"/>
      <c r="K5" s="25"/>
      <c r="L5" s="2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5" customHeight="1">
      <c r="A6" s="26" t="s">
        <v>191</v>
      </c>
      <c r="B6" s="25"/>
      <c r="C6" s="25"/>
      <c r="D6" s="27"/>
      <c r="E6" s="57" t="s">
        <v>502</v>
      </c>
      <c r="F6" s="302">
        <v>0.2</v>
      </c>
      <c r="G6" s="25"/>
      <c r="H6" s="25"/>
      <c r="I6" s="25"/>
      <c r="J6" s="25"/>
      <c r="K6" s="25"/>
      <c r="L6" s="2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5" customHeight="1">
      <c r="A7" s="26" t="s">
        <v>210</v>
      </c>
      <c r="B7" s="25"/>
      <c r="C7" s="25"/>
      <c r="D7" s="27"/>
      <c r="E7" s="57" t="s">
        <v>503</v>
      </c>
      <c r="F7" s="302">
        <v>0.1</v>
      </c>
      <c r="G7" s="25"/>
      <c r="H7" s="25"/>
      <c r="I7" s="25"/>
      <c r="J7" s="25"/>
      <c r="K7" s="25"/>
      <c r="L7" s="2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5" customHeight="1">
      <c r="A8" s="26" t="s">
        <v>263</v>
      </c>
      <c r="B8" s="25"/>
      <c r="C8" s="25"/>
      <c r="D8" s="27"/>
      <c r="E8" s="50" t="s">
        <v>61</v>
      </c>
      <c r="F8" s="103">
        <f>F6+F7</f>
        <v>0.30000000000000004</v>
      </c>
      <c r="G8" s="25"/>
      <c r="H8" s="25"/>
      <c r="I8" s="25"/>
      <c r="J8" s="25"/>
      <c r="K8" s="25"/>
      <c r="L8" s="2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5" customHeight="1">
      <c r="A9" s="26" t="s">
        <v>264</v>
      </c>
      <c r="B9" s="25"/>
      <c r="C9" s="25"/>
      <c r="D9" s="27"/>
      <c r="E9" s="57" t="s">
        <v>504</v>
      </c>
      <c r="F9" s="302">
        <v>0.5</v>
      </c>
      <c r="G9" s="25"/>
      <c r="H9" s="25"/>
      <c r="I9" s="25"/>
      <c r="J9" s="25"/>
      <c r="K9" s="25"/>
      <c r="L9" s="2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5" customHeight="1">
      <c r="A10" s="26" t="s">
        <v>265</v>
      </c>
      <c r="B10" s="25"/>
      <c r="C10" s="25"/>
      <c r="D10" s="27"/>
      <c r="E10" s="57" t="s">
        <v>505</v>
      </c>
      <c r="F10" s="302">
        <v>1.6</v>
      </c>
      <c r="G10" s="25"/>
      <c r="H10" s="25"/>
      <c r="I10" s="25"/>
      <c r="J10" s="25"/>
      <c r="K10" s="25"/>
      <c r="L10" s="2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5" customHeight="1">
      <c r="A11" s="26" t="s">
        <v>266</v>
      </c>
      <c r="B11" s="25"/>
      <c r="C11" s="25"/>
      <c r="D11" s="27"/>
      <c r="E11" s="57" t="s">
        <v>395</v>
      </c>
      <c r="F11" s="302">
        <v>0.25</v>
      </c>
      <c r="G11" s="25"/>
      <c r="H11" s="25"/>
      <c r="I11" s="25"/>
      <c r="J11" s="25"/>
      <c r="K11" s="25"/>
      <c r="L11" s="2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5" customHeight="1">
      <c r="A12" s="26" t="s">
        <v>43</v>
      </c>
      <c r="B12" s="25"/>
      <c r="C12" s="25"/>
      <c r="D12" s="27"/>
      <c r="E12" s="57" t="s">
        <v>396</v>
      </c>
      <c r="F12" s="302">
        <v>0.1</v>
      </c>
      <c r="G12" s="25"/>
      <c r="H12" s="25"/>
      <c r="I12" s="25"/>
      <c r="J12" s="25"/>
      <c r="K12" s="25"/>
      <c r="L12" s="2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5" customHeight="1">
      <c r="A13" s="26" t="s">
        <v>44</v>
      </c>
      <c r="B13" s="25"/>
      <c r="C13" s="25"/>
      <c r="D13" s="27"/>
      <c r="E13" s="50" t="s">
        <v>62</v>
      </c>
      <c r="F13" s="103">
        <f>F11+F12</f>
        <v>0.35</v>
      </c>
      <c r="G13" s="25"/>
      <c r="H13" s="25"/>
      <c r="I13" s="25"/>
      <c r="J13" s="25"/>
      <c r="K13" s="25"/>
      <c r="L13" s="2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5" customHeight="1">
      <c r="A14" s="26" t="s">
        <v>42</v>
      </c>
      <c r="B14" s="25"/>
      <c r="C14" s="25"/>
      <c r="D14" s="27"/>
      <c r="E14" s="50" t="s">
        <v>35</v>
      </c>
      <c r="F14" s="103">
        <f>F5-F13</f>
        <v>2.9499999999999997</v>
      </c>
      <c r="G14" s="25"/>
      <c r="H14" s="25"/>
      <c r="I14" s="25"/>
      <c r="J14" s="25"/>
      <c r="K14" s="25"/>
      <c r="L14" s="2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5" customHeight="1">
      <c r="A15" s="20" t="s">
        <v>389</v>
      </c>
      <c r="B15" s="15"/>
      <c r="C15" s="15"/>
      <c r="D15" s="16"/>
      <c r="E15" s="104" t="s">
        <v>397</v>
      </c>
      <c r="F15" s="105">
        <f>F9+F8+F10</f>
        <v>2.4000000000000004</v>
      </c>
      <c r="G15" s="25"/>
      <c r="H15" s="25"/>
      <c r="I15" s="25"/>
      <c r="J15" s="25"/>
      <c r="K15" s="25"/>
      <c r="L15" s="2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5" customHeight="1">
      <c r="A16" s="257" t="s">
        <v>82</v>
      </c>
      <c r="B16" s="258"/>
      <c r="C16" s="258"/>
      <c r="D16" s="258"/>
      <c r="E16" s="258"/>
      <c r="F16" s="259"/>
      <c r="G16" s="75"/>
      <c r="H16" s="75"/>
      <c r="I16" s="75"/>
      <c r="J16" s="25"/>
      <c r="K16" s="25"/>
      <c r="L16" s="2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2.75" customHeight="1">
      <c r="A17" s="43" t="s">
        <v>75</v>
      </c>
      <c r="B17" s="38"/>
      <c r="C17" s="38"/>
      <c r="D17" s="39"/>
      <c r="E17" s="57" t="s">
        <v>494</v>
      </c>
      <c r="F17" s="303">
        <v>16</v>
      </c>
      <c r="G17" s="75"/>
      <c r="H17" s="75"/>
      <c r="I17" s="75"/>
      <c r="J17" s="25"/>
      <c r="K17" s="25"/>
      <c r="L17" s="2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5" customHeight="1">
      <c r="A18" s="44" t="s">
        <v>305</v>
      </c>
      <c r="B18" s="37"/>
      <c r="C18" s="37"/>
      <c r="D18" s="124"/>
      <c r="E18" s="57" t="s">
        <v>494</v>
      </c>
      <c r="F18" s="303">
        <v>16</v>
      </c>
      <c r="G18" s="75"/>
      <c r="H18" s="75"/>
      <c r="I18" s="75"/>
      <c r="J18" s="25"/>
      <c r="K18" s="25"/>
      <c r="L18" s="2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5" customHeight="1">
      <c r="A19" s="44" t="s">
        <v>493</v>
      </c>
      <c r="B19" s="37"/>
      <c r="C19" s="37"/>
      <c r="D19" s="124"/>
      <c r="E19" s="57" t="s">
        <v>495</v>
      </c>
      <c r="F19" s="303">
        <v>500</v>
      </c>
      <c r="G19" s="25"/>
      <c r="H19" s="25"/>
      <c r="I19" s="25"/>
      <c r="J19" s="25"/>
      <c r="K19" s="25"/>
      <c r="L19" s="2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5" customHeight="1">
      <c r="A20" s="44" t="s">
        <v>76</v>
      </c>
      <c r="B20" s="37"/>
      <c r="C20" s="37"/>
      <c r="D20" s="124"/>
      <c r="E20" s="50" t="s">
        <v>96</v>
      </c>
      <c r="F20" s="63">
        <f>F17/1.5</f>
        <v>10.666666666666666</v>
      </c>
      <c r="G20" s="25"/>
      <c r="H20" s="25"/>
      <c r="I20" s="25"/>
      <c r="J20" s="25"/>
      <c r="K20" s="25"/>
      <c r="L20" s="2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5" customHeight="1">
      <c r="A21" s="44" t="s">
        <v>38</v>
      </c>
      <c r="B21" s="37"/>
      <c r="C21" s="37"/>
      <c r="D21" s="124"/>
      <c r="E21" s="50" t="s">
        <v>96</v>
      </c>
      <c r="F21" s="63">
        <f>F18/1.5</f>
        <v>10.666666666666666</v>
      </c>
      <c r="G21" s="25"/>
      <c r="H21" s="25"/>
      <c r="I21" s="25"/>
      <c r="J21" s="25"/>
      <c r="K21" s="25"/>
      <c r="L21" s="2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5" customHeight="1">
      <c r="A22" s="44" t="s">
        <v>95</v>
      </c>
      <c r="B22" s="37"/>
      <c r="C22" s="37"/>
      <c r="D22" s="124"/>
      <c r="E22" s="50" t="s">
        <v>97</v>
      </c>
      <c r="F22" s="63">
        <f>F19/1.15</f>
        <v>434.7826086956522</v>
      </c>
      <c r="G22" s="25"/>
      <c r="H22" s="25"/>
      <c r="I22" s="25"/>
      <c r="J22" s="25"/>
      <c r="K22" s="25"/>
      <c r="L22" s="2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5" customHeight="1">
      <c r="A23" s="44" t="s">
        <v>283</v>
      </c>
      <c r="B23" s="37"/>
      <c r="C23" s="37"/>
      <c r="D23" s="124"/>
      <c r="E23" s="57" t="s">
        <v>254</v>
      </c>
      <c r="F23" s="303">
        <v>0.025</v>
      </c>
      <c r="G23" s="25"/>
      <c r="H23" s="25"/>
      <c r="I23" s="25"/>
      <c r="J23" s="25"/>
      <c r="K23" s="25"/>
      <c r="L23" s="2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5" customHeight="1">
      <c r="A24" s="44" t="s">
        <v>284</v>
      </c>
      <c r="B24" s="37"/>
      <c r="C24" s="37"/>
      <c r="D24" s="124"/>
      <c r="E24" s="57" t="s">
        <v>254</v>
      </c>
      <c r="F24" s="303">
        <v>0.075</v>
      </c>
      <c r="G24" s="25"/>
      <c r="H24" s="25"/>
      <c r="I24" s="25"/>
      <c r="J24" s="25"/>
      <c r="K24" s="25"/>
      <c r="L24" s="2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15" customHeight="1">
      <c r="A25" s="44" t="s">
        <v>434</v>
      </c>
      <c r="B25" s="37"/>
      <c r="C25" s="37"/>
      <c r="D25" s="124"/>
      <c r="E25" s="57" t="s">
        <v>231</v>
      </c>
      <c r="F25" s="302">
        <v>25</v>
      </c>
      <c r="G25" s="25"/>
      <c r="H25" s="25"/>
      <c r="I25" s="25"/>
      <c r="J25" s="25"/>
      <c r="K25" s="25"/>
      <c r="L25" s="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5" customHeight="1">
      <c r="A26" s="88" t="s">
        <v>409</v>
      </c>
      <c r="B26" s="116"/>
      <c r="C26" s="116"/>
      <c r="D26" s="40"/>
      <c r="E26" s="57" t="s">
        <v>77</v>
      </c>
      <c r="F26" s="304">
        <f>IF(F17=12,26,IF(F17=16,28,IF(F17=20,29,IF(F17=25,31,IF(F17=30,32,IF(F17=35,34,IF(F17=40,35,IF(F17=45,36,37))))))))*1000</f>
        <v>28000</v>
      </c>
      <c r="G26" s="25"/>
      <c r="H26" s="25"/>
      <c r="I26" s="25"/>
      <c r="J26" s="25"/>
      <c r="K26" s="25"/>
      <c r="L26" s="2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9.5" customHeight="1">
      <c r="A27" s="254" t="s">
        <v>192</v>
      </c>
      <c r="B27" s="248"/>
      <c r="C27" s="248"/>
      <c r="D27" s="248"/>
      <c r="E27" s="248"/>
      <c r="F27" s="255"/>
      <c r="G27" s="240" t="s">
        <v>187</v>
      </c>
      <c r="H27" s="256"/>
      <c r="I27" s="256"/>
      <c r="J27" s="256"/>
      <c r="K27" s="229"/>
      <c r="L27" s="8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5" customHeight="1">
      <c r="A28" s="230" t="s">
        <v>323</v>
      </c>
      <c r="B28" s="231"/>
      <c r="C28" s="231"/>
      <c r="D28" s="232"/>
      <c r="E28" s="233" t="s">
        <v>324</v>
      </c>
      <c r="F28" s="305">
        <v>2.7</v>
      </c>
      <c r="G28" s="72" t="s">
        <v>487</v>
      </c>
      <c r="H28" s="73"/>
      <c r="I28" s="73"/>
      <c r="J28" s="236"/>
      <c r="K28" s="36" t="s">
        <v>163</v>
      </c>
      <c r="L28" s="302">
        <v>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13.5" customHeight="1">
      <c r="A29" s="234" t="s">
        <v>325</v>
      </c>
      <c r="B29" s="218"/>
      <c r="C29" s="218"/>
      <c r="D29" s="235"/>
      <c r="E29" s="233" t="s">
        <v>326</v>
      </c>
      <c r="F29" s="305">
        <v>1.8</v>
      </c>
      <c r="G29" s="74" t="s">
        <v>72</v>
      </c>
      <c r="H29" s="75"/>
      <c r="I29" s="75"/>
      <c r="J29" s="237"/>
      <c r="K29" s="36" t="s">
        <v>274</v>
      </c>
      <c r="L29" s="302">
        <v>3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5" customHeight="1">
      <c r="A30" s="234" t="s">
        <v>327</v>
      </c>
      <c r="B30" s="218"/>
      <c r="C30" s="218"/>
      <c r="D30" s="235"/>
      <c r="E30" s="252" t="s">
        <v>328</v>
      </c>
      <c r="F30" s="306">
        <v>0.12</v>
      </c>
      <c r="G30" s="74" t="s">
        <v>67</v>
      </c>
      <c r="H30" s="75"/>
      <c r="I30" s="75"/>
      <c r="J30" s="237"/>
      <c r="K30" s="36" t="s">
        <v>275</v>
      </c>
      <c r="L30" s="302">
        <v>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5" customHeight="1">
      <c r="A31" s="148" t="s">
        <v>45</v>
      </c>
      <c r="B31" s="253"/>
      <c r="C31" s="253"/>
      <c r="D31" s="331" t="str">
        <f>IF(AND(F281&gt;F274,F304&gt;F297,F321&lt;=F322,F339&lt;=F340,F393&gt;F386,F415&lt;=F416,F435&lt;=F436,C578&lt;=C585,C656&lt;=C661),"ΑΝΤΟΧΗ ΤΟΙΧΟΥ KAΛH","*** ΑΛΛΑΓΗ ΔΙΑΤΟΜΗΣ ***")</f>
        <v>ΑΝΤΟΧΗ ΤΟΙΧΟΥ KAΛH</v>
      </c>
      <c r="E31" s="331"/>
      <c r="F31" s="331"/>
      <c r="G31" s="76" t="s">
        <v>403</v>
      </c>
      <c r="H31" s="77"/>
      <c r="I31" s="77"/>
      <c r="J31" s="109"/>
      <c r="K31" s="41" t="s">
        <v>413</v>
      </c>
      <c r="L31" s="103">
        <f>L29+L30</f>
        <v>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3:65" ht="15" customHeight="1"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3:65" ht="15" customHeight="1"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3:65" ht="15" customHeight="1"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3:65" ht="15" customHeight="1"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1:65" ht="15" customHeight="1">
      <c r="K36" s="17" t="s">
        <v>478</v>
      </c>
      <c r="L36" s="2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1:65" ht="15" customHeight="1">
      <c r="K37" s="344" t="s">
        <v>479</v>
      </c>
      <c r="L37" s="34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1:65" ht="15" customHeight="1">
      <c r="K38" s="269" t="s">
        <v>350</v>
      </c>
      <c r="L38" s="270">
        <f aca="true" t="shared" si="0" ref="L38:L45">F63</f>
        <v>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1:65" ht="15" customHeight="1">
      <c r="K39" s="261" t="s">
        <v>231</v>
      </c>
      <c r="L39" s="264">
        <f t="shared" si="0"/>
        <v>18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1:65" ht="15" customHeight="1">
      <c r="K40" s="261" t="s">
        <v>259</v>
      </c>
      <c r="L40" s="264">
        <f t="shared" si="0"/>
        <v>23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1:65" ht="15" customHeight="1">
      <c r="K41" s="261" t="s">
        <v>68</v>
      </c>
      <c r="L41" s="264">
        <f t="shared" si="0"/>
        <v>10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1:65" ht="15" customHeight="1">
      <c r="K42" s="261" t="s">
        <v>162</v>
      </c>
      <c r="L42" s="264">
        <f t="shared" si="0"/>
        <v>38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1:65" ht="15" customHeight="1">
      <c r="K43" s="261" t="s">
        <v>488</v>
      </c>
      <c r="L43" s="265">
        <f t="shared" si="0"/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1:65" ht="15" customHeight="1">
      <c r="K44" s="261" t="s">
        <v>440</v>
      </c>
      <c r="L44" s="265">
        <f t="shared" si="0"/>
        <v>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1:65" ht="15" customHeight="1">
      <c r="K45" s="262" t="s">
        <v>441</v>
      </c>
      <c r="L45" s="266">
        <f t="shared" si="0"/>
        <v>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4:65" ht="15" customHeight="1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4:65" ht="15" customHeight="1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4:65" ht="15" customHeight="1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3:65" ht="15" customHeight="1"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3:65" ht="15" customHeight="1"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1:65" ht="15" customHeight="1">
      <c r="K51" s="17" t="s">
        <v>478</v>
      </c>
      <c r="L51" s="23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1:65" ht="15" customHeight="1">
      <c r="K52" s="344" t="s">
        <v>480</v>
      </c>
      <c r="L52" s="34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ht="15" customHeight="1">
      <c r="A53" s="4" t="s">
        <v>344</v>
      </c>
      <c r="B53" s="4"/>
      <c r="K53" s="269" t="s">
        <v>317</v>
      </c>
      <c r="L53" s="270">
        <f>F71</f>
        <v>1.2999999999999998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ht="15" customHeight="1">
      <c r="A54" s="70" t="s">
        <v>231</v>
      </c>
      <c r="B54" s="263">
        <f>L65</f>
        <v>18</v>
      </c>
      <c r="K54" s="267" t="str">
        <f>IF(F71=0,"","γ =")</f>
        <v>γ =</v>
      </c>
      <c r="L54" s="264">
        <f>IF(F71=0,"",F72)</f>
        <v>16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ht="15" customHeight="1">
      <c r="A55" s="260" t="s">
        <v>259</v>
      </c>
      <c r="B55" s="264">
        <f>L66</f>
        <v>25</v>
      </c>
      <c r="K55" s="267" t="str">
        <f>IF(F71=0,"","γκ =")</f>
        <v>γκ =</v>
      </c>
      <c r="L55" s="264">
        <f>IF(F71=0,"",F73)</f>
        <v>23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ht="15" customHeight="1">
      <c r="A56" s="260" t="s">
        <v>162</v>
      </c>
      <c r="B56" s="264">
        <f>L67</f>
        <v>30</v>
      </c>
      <c r="K56" s="267" t="str">
        <f>IF(F71=0,"","γw =")</f>
        <v>γw =</v>
      </c>
      <c r="L56" s="264">
        <f>IF(F71=0,"",F74)</f>
        <v>10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5" customHeight="1">
      <c r="A57" s="260" t="s">
        <v>440</v>
      </c>
      <c r="B57" s="264">
        <f>L69</f>
        <v>0</v>
      </c>
      <c r="K57" s="267" t="str">
        <f>IF(F71=0,"","φ =")</f>
        <v>φ =</v>
      </c>
      <c r="L57" s="264">
        <f>IF(F71=0,"",F75)</f>
        <v>28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ht="15" customHeight="1">
      <c r="A58" s="260" t="s">
        <v>441</v>
      </c>
      <c r="B58" s="264">
        <f>L70</f>
        <v>0</v>
      </c>
      <c r="D58" s="25"/>
      <c r="E58" s="25"/>
      <c r="F58" s="25"/>
      <c r="G58" s="25"/>
      <c r="H58" s="25"/>
      <c r="I58" s="25"/>
      <c r="J58" s="25"/>
      <c r="K58" s="267" t="str">
        <f>IF(F71=0,"","c =¨")</f>
        <v>c =¨</v>
      </c>
      <c r="L58" s="265">
        <f>IF(F71=0,"",F76)</f>
        <v>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15" customHeight="1">
      <c r="A59" s="112" t="s">
        <v>488</v>
      </c>
      <c r="B59" s="266">
        <f>L68</f>
        <v>0</v>
      </c>
      <c r="C59" s="25"/>
      <c r="D59" s="25"/>
      <c r="E59" s="25"/>
      <c r="F59" s="25"/>
      <c r="G59" s="25"/>
      <c r="H59" s="25"/>
      <c r="I59" s="25"/>
      <c r="J59" s="25"/>
      <c r="K59" s="268" t="str">
        <f>IF(F71=0,"","δ =")</f>
        <v>δ =</v>
      </c>
      <c r="L59" s="266">
        <f>IF(F71=0,"",F77)</f>
        <v>0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ht="18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21.75" customHeight="1">
      <c r="A61" s="332" t="s">
        <v>81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21.75" customHeight="1">
      <c r="A62" s="42" t="s">
        <v>345</v>
      </c>
      <c r="G62" s="12" t="s">
        <v>491</v>
      </c>
      <c r="H62" s="106"/>
      <c r="I62" s="6"/>
      <c r="J62" s="6"/>
      <c r="K62" s="6"/>
      <c r="L62" s="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19.5" customHeight="1">
      <c r="A63" s="148" t="s">
        <v>349</v>
      </c>
      <c r="B63" s="149"/>
      <c r="C63" s="149"/>
      <c r="D63" s="85"/>
      <c r="E63" s="36" t="s">
        <v>350</v>
      </c>
      <c r="F63" s="307">
        <v>2</v>
      </c>
      <c r="G63" s="148" t="s">
        <v>39</v>
      </c>
      <c r="H63" s="149"/>
      <c r="I63" s="149"/>
      <c r="J63" s="85"/>
      <c r="K63" s="36" t="s">
        <v>329</v>
      </c>
      <c r="L63" s="307">
        <v>0.8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13.5" customHeight="1">
      <c r="A64" s="26" t="s">
        <v>410</v>
      </c>
      <c r="B64" s="75"/>
      <c r="C64" s="75"/>
      <c r="D64" s="237"/>
      <c r="E64" s="36" t="s">
        <v>231</v>
      </c>
      <c r="F64" s="308">
        <v>18</v>
      </c>
      <c r="G64" s="26" t="s">
        <v>390</v>
      </c>
      <c r="H64" s="25"/>
      <c r="I64" s="25"/>
      <c r="J64" s="27"/>
      <c r="K64" s="57" t="s">
        <v>391</v>
      </c>
      <c r="L64" s="302">
        <v>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3.5" customHeight="1">
      <c r="A65" s="26" t="s">
        <v>248</v>
      </c>
      <c r="B65" s="75"/>
      <c r="C65" s="75"/>
      <c r="D65" s="237"/>
      <c r="E65" s="36" t="s">
        <v>259</v>
      </c>
      <c r="F65" s="308">
        <v>23</v>
      </c>
      <c r="G65" s="44" t="s">
        <v>410</v>
      </c>
      <c r="H65" s="25"/>
      <c r="I65" s="25"/>
      <c r="J65" s="27"/>
      <c r="K65" s="36" t="s">
        <v>231</v>
      </c>
      <c r="L65" s="302">
        <v>18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3.5" customHeight="1">
      <c r="A66" s="26" t="s">
        <v>444</v>
      </c>
      <c r="B66" s="75"/>
      <c r="C66" s="75"/>
      <c r="D66" s="237"/>
      <c r="E66" s="36" t="s">
        <v>68</v>
      </c>
      <c r="F66" s="308">
        <v>10</v>
      </c>
      <c r="G66" s="44" t="s">
        <v>179</v>
      </c>
      <c r="H66" s="25"/>
      <c r="I66" s="25"/>
      <c r="J66" s="27"/>
      <c r="K66" s="36" t="s">
        <v>259</v>
      </c>
      <c r="L66" s="302">
        <v>25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13.5" customHeight="1">
      <c r="A67" s="26" t="s">
        <v>151</v>
      </c>
      <c r="B67" s="75"/>
      <c r="C67" s="75"/>
      <c r="D67" s="237"/>
      <c r="E67" s="36" t="s">
        <v>162</v>
      </c>
      <c r="F67" s="308">
        <v>38</v>
      </c>
      <c r="G67" s="44" t="s">
        <v>151</v>
      </c>
      <c r="H67" s="25"/>
      <c r="I67" s="25"/>
      <c r="J67" s="27"/>
      <c r="K67" s="36" t="s">
        <v>162</v>
      </c>
      <c r="L67" s="302">
        <v>30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ht="13.5" customHeight="1">
      <c r="A68" s="26" t="s">
        <v>233</v>
      </c>
      <c r="B68" s="75"/>
      <c r="C68" s="75"/>
      <c r="D68" s="237"/>
      <c r="E68" s="36" t="s">
        <v>488</v>
      </c>
      <c r="F68" s="309">
        <v>0</v>
      </c>
      <c r="G68" s="88" t="s">
        <v>178</v>
      </c>
      <c r="H68" s="15"/>
      <c r="I68" s="15"/>
      <c r="J68" s="16"/>
      <c r="K68" s="57" t="s">
        <v>488</v>
      </c>
      <c r="L68" s="310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13.5" customHeight="1">
      <c r="A69" s="26" t="s">
        <v>354</v>
      </c>
      <c r="B69" s="75"/>
      <c r="C69" s="75"/>
      <c r="D69" s="237"/>
      <c r="E69" s="36" t="s">
        <v>440</v>
      </c>
      <c r="F69" s="243">
        <v>0</v>
      </c>
      <c r="G69" s="26" t="s">
        <v>412</v>
      </c>
      <c r="H69" s="25"/>
      <c r="I69" s="25"/>
      <c r="J69" s="27"/>
      <c r="K69" s="36" t="s">
        <v>440</v>
      </c>
      <c r="L69" s="103">
        <v>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3.5" customHeight="1">
      <c r="A70" s="20" t="s">
        <v>258</v>
      </c>
      <c r="B70" s="77"/>
      <c r="C70" s="77"/>
      <c r="D70" s="109"/>
      <c r="E70" s="36" t="s">
        <v>441</v>
      </c>
      <c r="F70" s="309">
        <v>0</v>
      </c>
      <c r="G70" s="26" t="s">
        <v>313</v>
      </c>
      <c r="H70" s="25"/>
      <c r="I70" s="25"/>
      <c r="J70" s="27"/>
      <c r="K70" s="36" t="s">
        <v>441</v>
      </c>
      <c r="L70" s="302">
        <v>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9.5" customHeight="1">
      <c r="A71" s="148" t="s">
        <v>346</v>
      </c>
      <c r="B71" s="149"/>
      <c r="C71" s="149"/>
      <c r="D71" s="85"/>
      <c r="E71" s="57" t="s">
        <v>347</v>
      </c>
      <c r="F71" s="105">
        <f>F5-F63</f>
        <v>1.2999999999999998</v>
      </c>
      <c r="G71" s="240" t="s">
        <v>307</v>
      </c>
      <c r="H71" s="239"/>
      <c r="I71" s="239"/>
      <c r="J71" s="239"/>
      <c r="K71" s="239"/>
      <c r="L71" s="24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3.5" customHeight="1">
      <c r="A72" s="17" t="s">
        <v>410</v>
      </c>
      <c r="B72" s="73"/>
      <c r="C72" s="73"/>
      <c r="D72" s="236"/>
      <c r="E72" s="57" t="s">
        <v>231</v>
      </c>
      <c r="F72" s="308">
        <v>16</v>
      </c>
      <c r="G72" s="43" t="s">
        <v>467</v>
      </c>
      <c r="H72" s="18"/>
      <c r="I72" s="18"/>
      <c r="J72" s="14"/>
      <c r="K72" s="36" t="s">
        <v>318</v>
      </c>
      <c r="L72" s="310">
        <v>0.2</v>
      </c>
      <c r="M72" s="24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3.5" customHeight="1">
      <c r="A73" s="26" t="s">
        <v>248</v>
      </c>
      <c r="B73" s="75"/>
      <c r="C73" s="75"/>
      <c r="D73" s="237"/>
      <c r="E73" s="57" t="s">
        <v>259</v>
      </c>
      <c r="F73" s="308">
        <v>23</v>
      </c>
      <c r="G73" s="44" t="s">
        <v>343</v>
      </c>
      <c r="H73" s="25"/>
      <c r="I73" s="25"/>
      <c r="J73" s="27"/>
      <c r="K73" s="36" t="s">
        <v>162</v>
      </c>
      <c r="L73" s="302">
        <v>30</v>
      </c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13.5" customHeight="1">
      <c r="A74" s="26" t="s">
        <v>444</v>
      </c>
      <c r="B74" s="25"/>
      <c r="C74" s="25"/>
      <c r="D74" s="27"/>
      <c r="E74" s="57" t="s">
        <v>68</v>
      </c>
      <c r="F74" s="308">
        <v>10</v>
      </c>
      <c r="G74" s="44" t="s">
        <v>482</v>
      </c>
      <c r="H74" s="25"/>
      <c r="I74" s="25"/>
      <c r="J74" s="27"/>
      <c r="K74" s="41" t="s">
        <v>200</v>
      </c>
      <c r="L74" s="63">
        <f>TAN(RADIANS(L73))</f>
        <v>0.5773502691896257</v>
      </c>
      <c r="M74" s="242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13.5" customHeight="1">
      <c r="A75" s="26" t="s">
        <v>151</v>
      </c>
      <c r="B75" s="75"/>
      <c r="C75" s="75"/>
      <c r="D75" s="237"/>
      <c r="E75" s="57" t="s">
        <v>162</v>
      </c>
      <c r="F75" s="308">
        <v>28</v>
      </c>
      <c r="G75" s="44" t="s">
        <v>406</v>
      </c>
      <c r="H75" s="25"/>
      <c r="I75" s="25"/>
      <c r="J75" s="27"/>
      <c r="K75" s="36" t="s">
        <v>488</v>
      </c>
      <c r="L75" s="310">
        <v>0.01</v>
      </c>
      <c r="M75" s="242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13.5" customHeight="1">
      <c r="A76" s="26" t="s">
        <v>178</v>
      </c>
      <c r="B76" s="75"/>
      <c r="C76" s="75"/>
      <c r="D76" s="237"/>
      <c r="E76" s="57" t="s">
        <v>488</v>
      </c>
      <c r="F76" s="309">
        <v>0</v>
      </c>
      <c r="G76" s="44" t="s">
        <v>300</v>
      </c>
      <c r="H76" s="25"/>
      <c r="I76" s="25"/>
      <c r="J76" s="27"/>
      <c r="K76" s="40" t="s">
        <v>302</v>
      </c>
      <c r="L76" s="302">
        <v>1.5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13.5" customHeight="1">
      <c r="A77" s="20" t="s">
        <v>258</v>
      </c>
      <c r="B77" s="77"/>
      <c r="C77" s="77"/>
      <c r="D77" s="109"/>
      <c r="E77" s="57" t="s">
        <v>441</v>
      </c>
      <c r="F77" s="309">
        <v>0</v>
      </c>
      <c r="G77" s="88" t="s">
        <v>301</v>
      </c>
      <c r="H77" s="273"/>
      <c r="I77" s="15"/>
      <c r="J77" s="16"/>
      <c r="K77" s="36" t="s">
        <v>302</v>
      </c>
      <c r="L77" s="302">
        <v>1.5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ht="19.5" customHeight="1">
      <c r="A78" s="238" t="s">
        <v>492</v>
      </c>
      <c r="B78" s="249"/>
      <c r="C78" s="249"/>
      <c r="D78" s="249"/>
      <c r="E78" s="149"/>
      <c r="F78" s="85"/>
      <c r="G78" s="272" t="s">
        <v>384</v>
      </c>
      <c r="H78" s="259"/>
      <c r="I78" s="259"/>
      <c r="J78" s="259"/>
      <c r="K78" s="250"/>
      <c r="L78" s="251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ht="13.5" customHeight="1">
      <c r="A79" s="43" t="s">
        <v>34</v>
      </c>
      <c r="B79" s="38"/>
      <c r="C79" s="38"/>
      <c r="D79" s="39"/>
      <c r="E79" s="36" t="s">
        <v>442</v>
      </c>
      <c r="F79" s="303">
        <v>0.24</v>
      </c>
      <c r="G79" s="17" t="s">
        <v>193</v>
      </c>
      <c r="H79" s="18"/>
      <c r="I79" s="18"/>
      <c r="J79" s="14"/>
      <c r="K79" s="244" t="s">
        <v>194</v>
      </c>
      <c r="L79" s="311">
        <v>1.35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ht="13.5" customHeight="1">
      <c r="A80" s="44" t="s">
        <v>230</v>
      </c>
      <c r="B80" s="37"/>
      <c r="C80" s="37"/>
      <c r="D80" s="124"/>
      <c r="E80" s="36" t="s">
        <v>443</v>
      </c>
      <c r="F80" s="302">
        <v>1.5</v>
      </c>
      <c r="G80" s="26" t="s">
        <v>195</v>
      </c>
      <c r="H80" s="218"/>
      <c r="I80" s="218"/>
      <c r="J80" s="235"/>
      <c r="K80" s="244" t="s">
        <v>196</v>
      </c>
      <c r="L80" s="302">
        <v>1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ht="13.5" customHeight="1">
      <c r="A81" s="44" t="s">
        <v>217</v>
      </c>
      <c r="B81" s="37"/>
      <c r="C81" s="37"/>
      <c r="D81" s="124"/>
      <c r="E81" s="41" t="s">
        <v>272</v>
      </c>
      <c r="F81" s="63">
        <f>F79/F80</f>
        <v>0.16</v>
      </c>
      <c r="G81" s="26" t="s">
        <v>197</v>
      </c>
      <c r="H81" s="25"/>
      <c r="I81" s="25"/>
      <c r="J81" s="27"/>
      <c r="K81" s="244" t="s">
        <v>198</v>
      </c>
      <c r="L81" s="311">
        <v>1.5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ht="12.75" customHeight="1">
      <c r="A82" s="44" t="s">
        <v>314</v>
      </c>
      <c r="B82" s="37"/>
      <c r="C82" s="37"/>
      <c r="D82" s="124"/>
      <c r="E82" s="41" t="s">
        <v>414</v>
      </c>
      <c r="F82" s="63">
        <f>0.5*F81</f>
        <v>0.08</v>
      </c>
      <c r="G82" s="26" t="s">
        <v>199</v>
      </c>
      <c r="H82" s="218"/>
      <c r="I82" s="218"/>
      <c r="J82" s="235"/>
      <c r="K82" s="244" t="s">
        <v>468</v>
      </c>
      <c r="L82" s="302">
        <v>1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ht="12.75" customHeight="1">
      <c r="A83" s="44" t="s">
        <v>244</v>
      </c>
      <c r="B83" s="37"/>
      <c r="C83" s="37"/>
      <c r="D83" s="124"/>
      <c r="E83" s="41" t="s">
        <v>273</v>
      </c>
      <c r="F83" s="63">
        <f>ATAN(F81/(1-F82))*180/PI()</f>
        <v>9.865806943084369</v>
      </c>
      <c r="G83" s="234" t="s">
        <v>469</v>
      </c>
      <c r="H83" s="218"/>
      <c r="I83" s="218"/>
      <c r="J83" s="235"/>
      <c r="K83" s="244" t="s">
        <v>470</v>
      </c>
      <c r="L83" s="312">
        <v>1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ht="12.75" customHeight="1">
      <c r="A84" s="238" t="s">
        <v>201</v>
      </c>
      <c r="B84" s="149"/>
      <c r="C84" s="149"/>
      <c r="D84" s="149"/>
      <c r="E84" s="149"/>
      <c r="F84" s="149"/>
      <c r="G84" s="234" t="s">
        <v>471</v>
      </c>
      <c r="H84" s="218"/>
      <c r="I84" s="218"/>
      <c r="J84" s="235"/>
      <c r="K84" s="244" t="s">
        <v>472</v>
      </c>
      <c r="L84" s="312">
        <v>1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ht="12.75" customHeight="1">
      <c r="A85" s="17" t="s">
        <v>334</v>
      </c>
      <c r="B85" s="18"/>
      <c r="C85" s="18"/>
      <c r="D85" s="14"/>
      <c r="E85" s="57" t="s">
        <v>302</v>
      </c>
      <c r="F85" s="302">
        <v>1</v>
      </c>
      <c r="G85" s="234" t="s">
        <v>473</v>
      </c>
      <c r="H85" s="218"/>
      <c r="I85" s="218"/>
      <c r="J85" s="235"/>
      <c r="K85" s="244" t="s">
        <v>474</v>
      </c>
      <c r="L85" s="312">
        <v>1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ht="12.75" customHeight="1">
      <c r="A86" s="26" t="s">
        <v>335</v>
      </c>
      <c r="B86" s="25"/>
      <c r="C86" s="25"/>
      <c r="D86" s="27"/>
      <c r="E86" s="57" t="s">
        <v>302</v>
      </c>
      <c r="F86" s="302">
        <v>1</v>
      </c>
      <c r="G86" s="234" t="s">
        <v>475</v>
      </c>
      <c r="H86" s="218"/>
      <c r="I86" s="218"/>
      <c r="J86" s="235"/>
      <c r="K86" s="244" t="s">
        <v>476</v>
      </c>
      <c r="L86" s="312">
        <v>1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ht="15" customHeight="1">
      <c r="A87" s="20" t="s">
        <v>220</v>
      </c>
      <c r="B87" s="15"/>
      <c r="C87" s="15"/>
      <c r="D87" s="16"/>
      <c r="E87" s="57" t="s">
        <v>238</v>
      </c>
      <c r="F87" s="302">
        <v>0.5</v>
      </c>
      <c r="G87" s="245" t="s">
        <v>477</v>
      </c>
      <c r="H87" s="246"/>
      <c r="I87" s="246"/>
      <c r="J87" s="247"/>
      <c r="K87" s="244" t="s">
        <v>68</v>
      </c>
      <c r="L87" s="312">
        <v>1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ht="24.75" customHeight="1">
      <c r="A88" s="169" t="s">
        <v>277</v>
      </c>
      <c r="B88" s="25"/>
      <c r="C88" s="25"/>
      <c r="D88" s="25"/>
      <c r="E88" s="25"/>
      <c r="F88" s="2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ht="12.75" customHeight="1">
      <c r="A89" s="5" t="s">
        <v>417</v>
      </c>
      <c r="B89" s="6"/>
      <c r="C89" s="6"/>
      <c r="D89" s="6"/>
      <c r="E89" s="6"/>
      <c r="F89" s="7"/>
      <c r="G89" s="39" t="s">
        <v>496</v>
      </c>
      <c r="H89" s="90">
        <f>0.5*F7*(F5-F13)+F6*(F5-F13)+0.5*F9*F12+F8*F12+0.5*F10*F12+F15*F11</f>
        <v>1.4725000000000001</v>
      </c>
      <c r="I89" s="181"/>
      <c r="J89" s="181"/>
      <c r="K89" s="182"/>
      <c r="L89" s="182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ht="12.75" customHeight="1">
      <c r="A90" s="17" t="s">
        <v>270</v>
      </c>
      <c r="B90" s="18"/>
      <c r="C90" s="18"/>
      <c r="D90" s="18"/>
      <c r="E90" s="18"/>
      <c r="F90" s="14"/>
      <c r="G90" s="39" t="s">
        <v>271</v>
      </c>
      <c r="H90" s="83">
        <f>H89*F25</f>
        <v>36.8125</v>
      </c>
      <c r="I90" s="181"/>
      <c r="J90" s="181"/>
      <c r="K90" s="182"/>
      <c r="L90" s="182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ht="12.75" customHeight="1">
      <c r="A91" s="26" t="s">
        <v>437</v>
      </c>
      <c r="B91" s="25"/>
      <c r="C91" s="25"/>
      <c r="D91" s="25"/>
      <c r="E91" s="50" t="s">
        <v>241</v>
      </c>
      <c r="F91" s="63">
        <f>F8+F9-F92</f>
        <v>-0.11754385964912273</v>
      </c>
      <c r="G91" s="50" t="s">
        <v>122</v>
      </c>
      <c r="H91" s="63">
        <f>F5-H92</f>
        <v>2.3579513299377477</v>
      </c>
      <c r="K91" s="182"/>
      <c r="L91" s="182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ht="12.75" customHeight="1">
      <c r="A92" s="20"/>
      <c r="B92" s="15"/>
      <c r="C92" s="15"/>
      <c r="D92" s="15"/>
      <c r="E92" s="50" t="s">
        <v>404</v>
      </c>
      <c r="F92" s="63">
        <f>(0.5*F7*(F5-F13)*(F7*2/3+F9)+F6*(F5-F13)*(F6/2+F7+F9)+0.5*F9*F12*(2*F9/3)+F8*F12*(F8/2+F9)+0.5*F10*F12*(F10/3+F8+F9)+F15*F11*(F15/2))/H89</f>
        <v>0.9175438596491228</v>
      </c>
      <c r="G92" s="41" t="s">
        <v>405</v>
      </c>
      <c r="H92" s="63">
        <f>(0.5*F7*(F5-F13)*((F5-F13)/3+F13)+F6*(F5-F13)*((F5-F13)/2+F13)+0.5*F9*F12*(F12/3+F11)+F8*F12*(F12/2+F11)+0.5*F10*F12*(F12/3+F11)+F15*F11*(F11/2))/H89</f>
        <v>0.942048670062252</v>
      </c>
      <c r="J92" s="181"/>
      <c r="K92" s="182"/>
      <c r="L92" s="18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ht="12.75" customHeight="1">
      <c r="A93" s="17" t="s">
        <v>173</v>
      </c>
      <c r="B93" s="18"/>
      <c r="C93" s="18"/>
      <c r="D93" s="18"/>
      <c r="E93" s="18"/>
      <c r="F93" s="18"/>
      <c r="G93" s="57" t="s">
        <v>124</v>
      </c>
      <c r="H93" s="24">
        <f>(0.5*F10*F12)*IF(F71=0,F64,F72)+(F10*F63)*F64+(F10*(F14-F63))*IF(F71=0,F64,F72)+0.5*F10*F10*TAN(RADIANS(L28))*F64</f>
        <v>85.62160158052117</v>
      </c>
      <c r="I93" s="181"/>
      <c r="J93" s="181"/>
      <c r="K93" s="182"/>
      <c r="L93" s="182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ht="12.75" customHeight="1">
      <c r="A94" s="26" t="s">
        <v>174</v>
      </c>
      <c r="B94" s="25"/>
      <c r="C94" s="25"/>
      <c r="D94" s="25"/>
      <c r="E94" s="50" t="s">
        <v>241</v>
      </c>
      <c r="F94" s="84">
        <f>-((0.5*F10*F12)*2*F10/3+(F10*F63)*F10/2+(F10*(F14-F63))*F10/2+(0.5*F10*F10*TAN(RADIANS(L28)))*2*F10/3)/((0.5*F10*F12)+(F10*F63)+(F10*(F14-F63))+(0.5*F10*F10*TAN(RADIANS(L28))))</f>
        <v>-0.8115935808761429</v>
      </c>
      <c r="G94" s="41" t="s">
        <v>122</v>
      </c>
      <c r="H94" s="84">
        <f>((0.5*F10*F12)*(F14+F12/3)+(F10*F63)*(F63/2)+(F10*(F14-F63))*(F63+(F14-F63)/2)-(0.5*F10*F10*TAN(RADIANS(L28)))*F10*TAN(RADIANS(L28))/3)/((0.5*F10*F12)+(F10*F63)+(F10*(F14-F63))+(0.5*F10*F10*TAN(RADIANS(L28))))</f>
        <v>1.4577113380701197</v>
      </c>
      <c r="I94" s="271"/>
      <c r="J94" s="271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ht="12.75" customHeight="1">
      <c r="A95" s="20"/>
      <c r="B95" s="15"/>
      <c r="C95" s="15"/>
      <c r="D95" s="15"/>
      <c r="E95" s="50" t="s">
        <v>404</v>
      </c>
      <c r="F95" s="13">
        <f>F9+F8-F94</f>
        <v>1.6115935808761428</v>
      </c>
      <c r="G95" s="50" t="s">
        <v>405</v>
      </c>
      <c r="H95" s="13">
        <f>F5-H94</f>
        <v>1.8422886619298802</v>
      </c>
      <c r="I95" s="181"/>
      <c r="J95" s="181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ht="12.75" customHeight="1">
      <c r="A96" s="17" t="s">
        <v>143</v>
      </c>
      <c r="B96" s="18"/>
      <c r="C96" s="18"/>
      <c r="D96" s="18"/>
      <c r="E96" s="18"/>
      <c r="F96" s="18"/>
      <c r="G96" s="62" t="s">
        <v>418</v>
      </c>
      <c r="H96" s="83">
        <f>L29*F10</f>
        <v>4.800000000000001</v>
      </c>
      <c r="I96" s="181"/>
      <c r="J96" s="181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ht="12.75" customHeight="1">
      <c r="A97" s="26"/>
      <c r="B97" s="25"/>
      <c r="C97" s="25"/>
      <c r="D97" s="25"/>
      <c r="E97" s="50" t="s">
        <v>241</v>
      </c>
      <c r="F97" s="13">
        <f>-F10/2</f>
        <v>-0.8</v>
      </c>
      <c r="G97" s="50" t="s">
        <v>122</v>
      </c>
      <c r="H97" s="13">
        <v>0</v>
      </c>
      <c r="I97" s="181"/>
      <c r="J97" s="181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ht="12.75" customHeight="1">
      <c r="A98" s="20"/>
      <c r="B98" s="15"/>
      <c r="C98" s="15"/>
      <c r="D98" s="15"/>
      <c r="E98" s="50" t="s">
        <v>404</v>
      </c>
      <c r="F98" s="13">
        <f>F9+F8+0.5*F10</f>
        <v>1.6</v>
      </c>
      <c r="G98" s="50" t="s">
        <v>405</v>
      </c>
      <c r="H98" s="13">
        <f>F5</f>
        <v>3.3</v>
      </c>
      <c r="I98" s="181"/>
      <c r="J98" s="181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ht="24.75" customHeight="1">
      <c r="A99" s="47" t="s">
        <v>445</v>
      </c>
      <c r="B99" s="25"/>
      <c r="C99" s="25"/>
      <c r="D99" s="25"/>
      <c r="E99" s="25"/>
      <c r="G99" s="15"/>
      <c r="H99" s="95"/>
      <c r="I99" s="181"/>
      <c r="J99" s="181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ht="12.75" customHeight="1">
      <c r="A100" s="17" t="s">
        <v>446</v>
      </c>
      <c r="B100" s="18"/>
      <c r="C100" s="18"/>
      <c r="D100" s="18"/>
      <c r="E100" s="18"/>
      <c r="F100" s="14"/>
      <c r="G100" s="36" t="s">
        <v>381</v>
      </c>
      <c r="H100" s="13">
        <f>H90*F81</f>
        <v>5.89</v>
      </c>
      <c r="I100" s="181"/>
      <c r="J100" s="181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5" ht="12.75" customHeight="1">
      <c r="A101" s="26" t="s">
        <v>432</v>
      </c>
      <c r="B101" s="25"/>
      <c r="C101" s="25"/>
      <c r="D101" s="25"/>
      <c r="E101" s="25"/>
      <c r="F101" s="27"/>
      <c r="G101" s="36" t="s">
        <v>133</v>
      </c>
      <c r="H101" s="13">
        <f>H90*F82</f>
        <v>2.945</v>
      </c>
      <c r="I101" s="181"/>
      <c r="J101" s="18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ht="12.75" customHeight="1">
      <c r="A102" s="26" t="s">
        <v>158</v>
      </c>
      <c r="B102" s="25"/>
      <c r="C102" s="25"/>
      <c r="D102" s="25"/>
      <c r="E102" s="25"/>
      <c r="F102" s="27"/>
      <c r="G102" s="281" t="s">
        <v>464</v>
      </c>
      <c r="H102" s="13">
        <f>F28*F81</f>
        <v>0.43200000000000005</v>
      </c>
      <c r="I102" s="181"/>
      <c r="J102" s="181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5" ht="12.75" customHeight="1">
      <c r="A103" s="26" t="s">
        <v>159</v>
      </c>
      <c r="B103" s="25"/>
      <c r="C103" s="25"/>
      <c r="D103" s="25"/>
      <c r="E103" s="25"/>
      <c r="F103" s="27"/>
      <c r="G103" s="281" t="s">
        <v>465</v>
      </c>
      <c r="H103" s="13">
        <f>F28*F82</f>
        <v>0.21600000000000003</v>
      </c>
      <c r="I103" s="181"/>
      <c r="J103" s="181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5" ht="12.75" customHeight="1">
      <c r="A104" s="26" t="s">
        <v>460</v>
      </c>
      <c r="B104" s="25"/>
      <c r="C104" s="25"/>
      <c r="D104" s="25"/>
      <c r="E104" s="25"/>
      <c r="F104" s="27"/>
      <c r="G104" s="36" t="s">
        <v>462</v>
      </c>
      <c r="H104" s="13">
        <f>F29*F81</f>
        <v>0.28800000000000003</v>
      </c>
      <c r="I104" s="181"/>
      <c r="J104" s="181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5" ht="12.75" customHeight="1">
      <c r="A105" s="26" t="s">
        <v>461</v>
      </c>
      <c r="B105" s="25"/>
      <c r="C105" s="25"/>
      <c r="D105" s="25"/>
      <c r="E105" s="25"/>
      <c r="F105" s="27"/>
      <c r="G105" s="36" t="s">
        <v>463</v>
      </c>
      <c r="H105" s="13">
        <f>F29*F82</f>
        <v>0.14400000000000002</v>
      </c>
      <c r="I105" s="181"/>
      <c r="J105" s="181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ht="12.75" customHeight="1">
      <c r="A106" s="26" t="s">
        <v>119</v>
      </c>
      <c r="B106" s="25"/>
      <c r="C106" s="25"/>
      <c r="D106" s="25"/>
      <c r="E106" s="25"/>
      <c r="F106" s="27"/>
      <c r="G106" s="36" t="s">
        <v>125</v>
      </c>
      <c r="H106" s="84">
        <f>H93*F81</f>
        <v>13.699456252883389</v>
      </c>
      <c r="I106" s="181"/>
      <c r="J106" s="181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ht="12.75" customHeight="1">
      <c r="A107" s="20" t="s">
        <v>123</v>
      </c>
      <c r="B107" s="15"/>
      <c r="C107" s="15"/>
      <c r="D107" s="15"/>
      <c r="E107" s="15"/>
      <c r="F107" s="16"/>
      <c r="G107" s="57" t="s">
        <v>126</v>
      </c>
      <c r="H107" s="84">
        <f>H93*F82</f>
        <v>6.849728126441694</v>
      </c>
      <c r="I107" s="181"/>
      <c r="J107" s="181"/>
      <c r="K107" s="182"/>
      <c r="L107" s="182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ht="39.75" customHeight="1">
      <c r="A108" s="169" t="s">
        <v>369</v>
      </c>
      <c r="B108" s="25"/>
      <c r="C108" s="25"/>
      <c r="D108" s="25"/>
      <c r="E108" s="25"/>
      <c r="F108" s="25"/>
      <c r="G108" s="25"/>
      <c r="H108" s="25"/>
      <c r="I108" s="75"/>
      <c r="J108" s="75"/>
      <c r="K108" s="75"/>
      <c r="L108" s="75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ht="19.5" customHeight="1">
      <c r="A109" s="280" t="s">
        <v>319</v>
      </c>
      <c r="B109" s="149"/>
      <c r="C109" s="149"/>
      <c r="D109" s="149"/>
      <c r="E109" s="149"/>
      <c r="F109" s="149"/>
      <c r="G109" s="149"/>
      <c r="H109" s="85"/>
      <c r="I109" s="75"/>
      <c r="J109" s="75"/>
      <c r="K109" s="75"/>
      <c r="L109" s="75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ht="13.5" customHeight="1">
      <c r="A110" s="19" t="s">
        <v>320</v>
      </c>
      <c r="B110" s="62" t="s">
        <v>122</v>
      </c>
      <c r="C110" s="284">
        <f>-F10*TAN(RADIANS(L28))</f>
        <v>-0.16816677642508238</v>
      </c>
      <c r="D110" s="19" t="s">
        <v>321</v>
      </c>
      <c r="E110" s="62" t="s">
        <v>122</v>
      </c>
      <c r="F110" s="90">
        <f>F63+F10*TAN(RADIANS(L28))</f>
        <v>2.1681667764250823</v>
      </c>
      <c r="G110" s="282" t="s">
        <v>350</v>
      </c>
      <c r="H110" s="283">
        <f>F63+F10*TAN(RADIANS(L28))</f>
        <v>2.1681667764250823</v>
      </c>
      <c r="I110" s="75"/>
      <c r="J110" s="75"/>
      <c r="K110" s="75"/>
      <c r="L110" s="75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ht="13.5" customHeight="1">
      <c r="A111" s="17" t="s">
        <v>410</v>
      </c>
      <c r="B111" s="73"/>
      <c r="C111" s="73"/>
      <c r="D111" s="73"/>
      <c r="E111" s="18"/>
      <c r="F111" s="276"/>
      <c r="G111" s="36" t="s">
        <v>231</v>
      </c>
      <c r="H111" s="13">
        <f>F64</f>
        <v>18</v>
      </c>
      <c r="I111" s="75"/>
      <c r="J111" s="75"/>
      <c r="K111" s="75"/>
      <c r="L111" s="75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ht="13.5" customHeight="1">
      <c r="A112" s="26" t="s">
        <v>248</v>
      </c>
      <c r="B112" s="75"/>
      <c r="C112" s="75"/>
      <c r="D112" s="75"/>
      <c r="E112" s="25"/>
      <c r="F112" s="277"/>
      <c r="G112" s="36" t="s">
        <v>259</v>
      </c>
      <c r="H112" s="13">
        <f>F65</f>
        <v>23</v>
      </c>
      <c r="I112" s="75"/>
      <c r="J112" s="75"/>
      <c r="K112" s="75"/>
      <c r="L112" s="75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ht="13.5" customHeight="1">
      <c r="A113" s="26" t="s">
        <v>151</v>
      </c>
      <c r="B113" s="75"/>
      <c r="C113" s="75"/>
      <c r="D113" s="75"/>
      <c r="E113" s="37"/>
      <c r="F113" s="277"/>
      <c r="G113" s="36" t="s">
        <v>162</v>
      </c>
      <c r="H113" s="13">
        <f>F67</f>
        <v>38</v>
      </c>
      <c r="I113" s="75"/>
      <c r="J113" s="75"/>
      <c r="K113" s="75"/>
      <c r="L113" s="75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1:65" ht="13.5" customHeight="1">
      <c r="A114" s="26" t="s">
        <v>233</v>
      </c>
      <c r="B114" s="75"/>
      <c r="C114" s="75"/>
      <c r="D114" s="75"/>
      <c r="E114" s="37"/>
      <c r="F114" s="277"/>
      <c r="G114" s="36" t="s">
        <v>488</v>
      </c>
      <c r="H114" s="13">
        <f>F68</f>
        <v>0</v>
      </c>
      <c r="I114" s="75"/>
      <c r="J114" s="75"/>
      <c r="K114" s="75"/>
      <c r="L114" s="75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ht="13.5" customHeight="1">
      <c r="A115" s="20" t="s">
        <v>258</v>
      </c>
      <c r="B115" s="77"/>
      <c r="C115" s="77"/>
      <c r="D115" s="77"/>
      <c r="E115" s="15"/>
      <c r="F115" s="278"/>
      <c r="G115" s="36" t="s">
        <v>441</v>
      </c>
      <c r="H115" s="13">
        <f>F70</f>
        <v>0</v>
      </c>
      <c r="I115" s="75"/>
      <c r="J115" s="75"/>
      <c r="K115" s="75"/>
      <c r="L115" s="7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5" ht="13.5" customHeight="1">
      <c r="A116" s="78" t="s">
        <v>322</v>
      </c>
      <c r="B116" s="75"/>
      <c r="C116" s="75"/>
      <c r="D116" s="75"/>
      <c r="E116" s="25"/>
      <c r="F116" s="274"/>
      <c r="G116" s="116"/>
      <c r="H116" s="275"/>
      <c r="I116" s="75"/>
      <c r="J116" s="75"/>
      <c r="K116" s="75"/>
      <c r="L116" s="75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5" ht="13.5" customHeight="1">
      <c r="A117" s="72" t="s">
        <v>72</v>
      </c>
      <c r="B117" s="73"/>
      <c r="C117" s="73"/>
      <c r="D117" s="73"/>
      <c r="E117" s="18"/>
      <c r="F117" s="276"/>
      <c r="G117" s="36" t="s">
        <v>274</v>
      </c>
      <c r="H117" s="13">
        <f>L29</f>
        <v>3</v>
      </c>
      <c r="I117" s="75"/>
      <c r="J117" s="75"/>
      <c r="K117" s="75"/>
      <c r="L117" s="75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1:65" ht="13.5" customHeight="1">
      <c r="A118" s="76" t="s">
        <v>67</v>
      </c>
      <c r="B118" s="77"/>
      <c r="C118" s="77"/>
      <c r="D118" s="77"/>
      <c r="E118" s="15"/>
      <c r="F118" s="278"/>
      <c r="G118" s="36" t="s">
        <v>275</v>
      </c>
      <c r="H118" s="13">
        <f>L30</f>
        <v>2</v>
      </c>
      <c r="I118" s="75"/>
      <c r="J118" s="75"/>
      <c r="K118" s="75"/>
      <c r="L118" s="75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1:65" ht="16.5" customHeight="1">
      <c r="A119" s="82" t="s">
        <v>80</v>
      </c>
      <c r="B119" s="25"/>
      <c r="C119" s="25"/>
      <c r="D119" s="25"/>
      <c r="E119" s="25"/>
      <c r="F119" s="25"/>
      <c r="G119" s="15"/>
      <c r="H119" s="273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1:65" ht="15" customHeight="1">
      <c r="A120" s="17" t="s">
        <v>516</v>
      </c>
      <c r="B120" s="18"/>
      <c r="C120" s="18"/>
      <c r="D120" s="18"/>
      <c r="E120" s="18"/>
      <c r="F120" s="14"/>
      <c r="G120" s="57" t="s">
        <v>183</v>
      </c>
      <c r="H120" s="13">
        <f>45+F67/2</f>
        <v>64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1:65" ht="15" customHeight="1">
      <c r="A121" s="20" t="s">
        <v>281</v>
      </c>
      <c r="B121" s="15"/>
      <c r="C121" s="15"/>
      <c r="D121" s="15"/>
      <c r="E121" s="15"/>
      <c r="F121" s="16"/>
      <c r="G121" s="57" t="s">
        <v>376</v>
      </c>
      <c r="H121" s="13">
        <f>COS(RADIANS(F67-F69))^2/(COS(RADIANS(F69))^2*COS(RADIANS(F69+F70))*(1+SQRT((SIN(RADIANS(F67+F70))*SIN(RADIANS(F67-L28)))/(COS(RADIANS(F69+F70))*COS(RADIANS(F69-L28)))))^2)</f>
        <v>0.2510396378506889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1:65" ht="39" customHeight="1">
      <c r="A122" s="25"/>
      <c r="B122" s="25"/>
      <c r="C122" s="25"/>
      <c r="D122" s="25"/>
      <c r="E122" s="25"/>
      <c r="F122" s="25"/>
      <c r="G122" s="37"/>
      <c r="H122" s="127"/>
      <c r="I122" s="218"/>
      <c r="J122" s="218"/>
      <c r="K122" s="218"/>
      <c r="L122" s="218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1:65" ht="16.5" customHeight="1">
      <c r="A123" s="12" t="s">
        <v>511</v>
      </c>
      <c r="B123" s="6"/>
      <c r="C123" s="6"/>
      <c r="D123" s="6"/>
      <c r="E123" s="6"/>
      <c r="F123" s="294"/>
      <c r="G123" s="294"/>
      <c r="H123" s="295"/>
      <c r="I123" s="148" t="s">
        <v>453</v>
      </c>
      <c r="J123" s="149"/>
      <c r="K123" s="149"/>
      <c r="L123" s="85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1:65" ht="15" customHeight="1">
      <c r="A124" s="26" t="s">
        <v>299</v>
      </c>
      <c r="B124" s="75"/>
      <c r="C124" s="75"/>
      <c r="D124" s="75"/>
      <c r="E124" s="25"/>
      <c r="F124" s="27"/>
      <c r="G124" s="40" t="s">
        <v>377</v>
      </c>
      <c r="H124" s="160">
        <f>L29*H121</f>
        <v>0.7531189135520666</v>
      </c>
      <c r="I124" s="26"/>
      <c r="J124" s="25"/>
      <c r="K124" s="25"/>
      <c r="L124" s="27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1:65" ht="15" customHeight="1">
      <c r="A125" s="26" t="s">
        <v>425</v>
      </c>
      <c r="B125" s="25"/>
      <c r="C125" s="25"/>
      <c r="D125" s="25"/>
      <c r="E125" s="25"/>
      <c r="F125" s="27"/>
      <c r="G125" s="36" t="s">
        <v>286</v>
      </c>
      <c r="H125" s="13">
        <f>H124+F64*H121*(F63+F10*TAN(RADIANS(L28)))</f>
        <v>10.550443355917734</v>
      </c>
      <c r="I125" s="26"/>
      <c r="J125" s="25"/>
      <c r="K125" s="25"/>
      <c r="L125" s="27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1:65" ht="15" customHeight="1">
      <c r="A126" s="26" t="s">
        <v>47</v>
      </c>
      <c r="B126" s="25"/>
      <c r="C126" s="25"/>
      <c r="D126" s="25"/>
      <c r="E126" s="25"/>
      <c r="F126" s="27"/>
      <c r="G126" s="36" t="s">
        <v>176</v>
      </c>
      <c r="H126" s="13">
        <f>0.5*(H124+H125)*(F63+F10*TAN(RADIANS(L28)))</f>
        <v>12.254004083958263</v>
      </c>
      <c r="I126" s="26"/>
      <c r="J126" s="25"/>
      <c r="K126" s="25"/>
      <c r="L126" s="27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1:65" ht="15" customHeight="1">
      <c r="A127" s="26" t="s">
        <v>312</v>
      </c>
      <c r="B127" s="25"/>
      <c r="C127" s="25"/>
      <c r="D127" s="25"/>
      <c r="E127" s="25"/>
      <c r="F127" s="27"/>
      <c r="G127" s="36" t="s">
        <v>442</v>
      </c>
      <c r="H127" s="13">
        <v>0</v>
      </c>
      <c r="I127" s="26"/>
      <c r="J127" s="25"/>
      <c r="K127" s="25"/>
      <c r="L127" s="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1:65" ht="15" customHeight="1">
      <c r="A128" s="26" t="s">
        <v>98</v>
      </c>
      <c r="B128" s="25"/>
      <c r="C128" s="25"/>
      <c r="D128" s="25"/>
      <c r="E128" s="25"/>
      <c r="F128" s="27"/>
      <c r="G128" s="36" t="s">
        <v>33</v>
      </c>
      <c r="H128" s="13">
        <f>H126*COS(RADIANS(H127))</f>
        <v>12.254004083958263</v>
      </c>
      <c r="I128" s="26"/>
      <c r="J128" s="25"/>
      <c r="K128" s="25"/>
      <c r="L128" s="27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ht="15" customHeight="1">
      <c r="A129" s="26" t="s">
        <v>99</v>
      </c>
      <c r="B129" s="25"/>
      <c r="C129" s="25"/>
      <c r="D129" s="25"/>
      <c r="E129" s="25"/>
      <c r="F129" s="27"/>
      <c r="G129" s="36" t="s">
        <v>481</v>
      </c>
      <c r="H129" s="13">
        <f>H125*SIN(RADIANS(H127))</f>
        <v>0</v>
      </c>
      <c r="I129" s="26"/>
      <c r="J129" s="25"/>
      <c r="K129" s="25"/>
      <c r="L129" s="27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ht="15" customHeight="1">
      <c r="A130" s="26" t="s">
        <v>109</v>
      </c>
      <c r="B130" s="25"/>
      <c r="C130" s="25"/>
      <c r="D130" s="25"/>
      <c r="E130" s="25"/>
      <c r="F130" s="27"/>
      <c r="G130" s="36" t="s">
        <v>363</v>
      </c>
      <c r="H130" s="13">
        <f>-H128*H131</f>
        <v>-15.061704619305926</v>
      </c>
      <c r="I130" s="26"/>
      <c r="J130" s="25"/>
      <c r="K130" s="25"/>
      <c r="L130" s="27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ht="15" customHeight="1">
      <c r="A131" s="20" t="s">
        <v>355</v>
      </c>
      <c r="B131" s="15"/>
      <c r="C131" s="15"/>
      <c r="D131" s="15"/>
      <c r="E131" s="50" t="s">
        <v>241</v>
      </c>
      <c r="F131" s="63">
        <f>-F10</f>
        <v>-1.6</v>
      </c>
      <c r="G131" s="41" t="s">
        <v>122</v>
      </c>
      <c r="H131" s="63">
        <f>F63-(H124*(F63+F10*TAN(RADIANS(L28)))*(F63+F10*TAN(RADIANS(L28)))/2+0.5*(H125-H124)*(F63+F10*TAN(RADIANS(L28)))*(F63+F10*TAN(RADIANS(L28)))/3)/(0.5*(H124+H125)*(F63+F10*TAN(RADIANS(L28))))</f>
        <v>1.2291251509392942</v>
      </c>
      <c r="I131" s="26"/>
      <c r="J131" s="25"/>
      <c r="K131" s="25"/>
      <c r="L131" s="27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5:65" ht="15" customHeight="1">
      <c r="E132" s="50" t="s">
        <v>404</v>
      </c>
      <c r="F132" s="63">
        <f>F9+F7+F6+ABS(F131)</f>
        <v>2.4000000000000004</v>
      </c>
      <c r="G132" s="50" t="s">
        <v>405</v>
      </c>
      <c r="H132" s="63">
        <f>F5-H131</f>
        <v>2.0708748490607056</v>
      </c>
      <c r="I132" s="20"/>
      <c r="J132" s="15"/>
      <c r="K132" s="15"/>
      <c r="L132" s="16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ht="16.5" customHeight="1">
      <c r="A133" s="78" t="s">
        <v>512</v>
      </c>
      <c r="B133" s="25"/>
      <c r="C133" s="25"/>
      <c r="D133" s="25"/>
      <c r="E133" s="25"/>
      <c r="F133"/>
      <c r="G133"/>
      <c r="H133"/>
      <c r="I133"/>
      <c r="J133" s="25"/>
      <c r="K133" s="25"/>
      <c r="L133" s="25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ht="15" customHeight="1">
      <c r="A134" s="17" t="s">
        <v>299</v>
      </c>
      <c r="B134" s="73"/>
      <c r="C134" s="73"/>
      <c r="D134" s="73"/>
      <c r="E134" s="18"/>
      <c r="F134" s="14"/>
      <c r="G134" s="36" t="s">
        <v>377</v>
      </c>
      <c r="H134" s="13">
        <f>L30*H121</f>
        <v>0.5020792757013778</v>
      </c>
      <c r="I134" s="148" t="s">
        <v>454</v>
      </c>
      <c r="J134" s="149"/>
      <c r="K134" s="149"/>
      <c r="L134" s="85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ht="15" customHeight="1">
      <c r="A135" s="26" t="s">
        <v>425</v>
      </c>
      <c r="B135" s="25"/>
      <c r="C135" s="25"/>
      <c r="D135" s="25"/>
      <c r="E135" s="25"/>
      <c r="F135" s="27"/>
      <c r="G135" s="36" t="s">
        <v>286</v>
      </c>
      <c r="H135" s="13">
        <f>L30*H121</f>
        <v>0.5020792757013778</v>
      </c>
      <c r="I135" s="25"/>
      <c r="J135" s="25"/>
      <c r="K135" s="25"/>
      <c r="L135" s="2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:65" ht="15" customHeight="1">
      <c r="A136" s="26" t="s">
        <v>47</v>
      </c>
      <c r="B136" s="25"/>
      <c r="C136" s="25"/>
      <c r="D136" s="25"/>
      <c r="E136" s="25"/>
      <c r="F136" s="27"/>
      <c r="G136" s="36" t="s">
        <v>176</v>
      </c>
      <c r="H136" s="13">
        <f>0.5*(H134+H135)*H110</f>
        <v>1.0885916047072963</v>
      </c>
      <c r="I136" s="25"/>
      <c r="L136" s="25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:65" ht="15" customHeight="1">
      <c r="A137" s="26" t="s">
        <v>312</v>
      </c>
      <c r="B137" s="25"/>
      <c r="C137" s="25"/>
      <c r="D137" s="25"/>
      <c r="E137" s="25"/>
      <c r="F137" s="27"/>
      <c r="G137" s="36" t="s">
        <v>442</v>
      </c>
      <c r="H137" s="13">
        <v>0</v>
      </c>
      <c r="I137" s="25"/>
      <c r="J137" s="25"/>
      <c r="K137" s="25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ht="15" customHeight="1">
      <c r="A138" s="26" t="s">
        <v>98</v>
      </c>
      <c r="B138" s="25"/>
      <c r="C138" s="25"/>
      <c r="D138" s="25"/>
      <c r="E138" s="25"/>
      <c r="F138" s="27"/>
      <c r="G138" s="36" t="s">
        <v>33</v>
      </c>
      <c r="H138" s="13">
        <f>H136*COS(RADIANS(H137))</f>
        <v>1.0885916047072963</v>
      </c>
      <c r="I138" s="25"/>
      <c r="J138" s="25"/>
      <c r="K138" s="25"/>
      <c r="L138" s="25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ht="15" customHeight="1">
      <c r="A139" s="26" t="s">
        <v>99</v>
      </c>
      <c r="B139" s="25"/>
      <c r="C139" s="25"/>
      <c r="D139" s="25"/>
      <c r="E139" s="25"/>
      <c r="F139" s="27"/>
      <c r="G139" s="36" t="s">
        <v>481</v>
      </c>
      <c r="H139" s="13">
        <f>H135*SIN(RADIANS(H137))</f>
        <v>0</v>
      </c>
      <c r="I139" s="25"/>
      <c r="J139" s="25"/>
      <c r="K139" s="25"/>
      <c r="L139" s="25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1:65" ht="15" customHeight="1">
      <c r="A140" s="26" t="s">
        <v>109</v>
      </c>
      <c r="B140" s="25"/>
      <c r="C140" s="25"/>
      <c r="D140" s="25"/>
      <c r="E140" s="25"/>
      <c r="F140" s="27"/>
      <c r="G140" s="36" t="s">
        <v>363</v>
      </c>
      <c r="H140" s="13">
        <f>-H138*H141</f>
        <v>-0.9970591342037796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1:65" ht="15" customHeight="1">
      <c r="A141" s="20" t="s">
        <v>355</v>
      </c>
      <c r="B141" s="15"/>
      <c r="C141" s="15"/>
      <c r="D141" s="15"/>
      <c r="E141" s="50" t="s">
        <v>241</v>
      </c>
      <c r="F141" s="63">
        <f>-F10</f>
        <v>-1.6</v>
      </c>
      <c r="G141" s="41" t="s">
        <v>122</v>
      </c>
      <c r="H141" s="63">
        <f>F63-(F63+F10*TAN(RADIANS(L28)))/2</f>
        <v>0.9159166117874589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:65" ht="15" customHeight="1">
      <c r="A142" s="25"/>
      <c r="B142" s="25"/>
      <c r="C142" s="25"/>
      <c r="D142" s="25"/>
      <c r="E142" s="296" t="s">
        <v>404</v>
      </c>
      <c r="F142" s="297">
        <f>F9+F7+F6+ABS(F141)</f>
        <v>2.4000000000000004</v>
      </c>
      <c r="G142" s="50" t="s">
        <v>405</v>
      </c>
      <c r="H142" s="63">
        <f>F5-H141</f>
        <v>2.3840833882125407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:65" ht="19.5" customHeight="1">
      <c r="A143" s="78" t="s">
        <v>513</v>
      </c>
      <c r="B143" s="25"/>
      <c r="C143" s="25"/>
      <c r="D143" s="25"/>
      <c r="E143" s="25"/>
      <c r="F143" s="25"/>
      <c r="G143" s="37"/>
      <c r="H143" s="18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:65" ht="13.5" customHeight="1">
      <c r="A144" s="78" t="s">
        <v>110</v>
      </c>
      <c r="B144" s="25"/>
      <c r="C144" s="25"/>
      <c r="D144" s="27"/>
      <c r="E144" s="298" t="s">
        <v>241</v>
      </c>
      <c r="F144" s="299">
        <f>-F10</f>
        <v>-1.6</v>
      </c>
      <c r="G144" s="50" t="s">
        <v>122</v>
      </c>
      <c r="H144" s="63">
        <f>F63</f>
        <v>2</v>
      </c>
      <c r="I144" s="148" t="s">
        <v>455</v>
      </c>
      <c r="J144" s="149"/>
      <c r="K144" s="149"/>
      <c r="L144" s="85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:65" ht="13.5" customHeight="1">
      <c r="A145" s="17" t="s">
        <v>106</v>
      </c>
      <c r="B145" s="18"/>
      <c r="C145" s="18"/>
      <c r="D145" s="18"/>
      <c r="E145" s="18"/>
      <c r="F145" s="14"/>
      <c r="G145" s="36" t="s">
        <v>226</v>
      </c>
      <c r="H145" s="13">
        <f>H128</f>
        <v>12.254004083958263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:65" ht="13.5" customHeight="1">
      <c r="A146" s="26" t="s">
        <v>54</v>
      </c>
      <c r="B146" s="25"/>
      <c r="C146" s="25"/>
      <c r="D146" s="25"/>
      <c r="E146" s="25"/>
      <c r="F146" s="27"/>
      <c r="G146" s="36" t="s">
        <v>227</v>
      </c>
      <c r="H146" s="13">
        <f>H129</f>
        <v>0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:65" ht="13.5" customHeight="1">
      <c r="A147" s="20" t="s">
        <v>55</v>
      </c>
      <c r="B147" s="15"/>
      <c r="C147" s="15"/>
      <c r="D147" s="15"/>
      <c r="E147" s="15"/>
      <c r="F147" s="16"/>
      <c r="G147" s="39" t="s">
        <v>386</v>
      </c>
      <c r="H147" s="90">
        <f>H145*(F63-H131)</f>
        <v>9.446303548610599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pans="1:65" ht="19.5" customHeight="1">
      <c r="A148" s="45" t="s">
        <v>56</v>
      </c>
      <c r="B148" s="15"/>
      <c r="C148" s="15"/>
      <c r="D148" s="15"/>
      <c r="E148" s="15"/>
      <c r="F148" s="15"/>
      <c r="G148" s="6"/>
      <c r="H148" s="7"/>
      <c r="J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</row>
    <row r="149" spans="1:65" ht="13.5" customHeight="1">
      <c r="A149" s="17" t="s">
        <v>106</v>
      </c>
      <c r="B149" s="18"/>
      <c r="C149" s="18"/>
      <c r="D149" s="18"/>
      <c r="E149" s="18"/>
      <c r="F149" s="14"/>
      <c r="G149" s="36" t="s">
        <v>226</v>
      </c>
      <c r="H149" s="13">
        <f>H138</f>
        <v>1.0885916047072963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</row>
    <row r="150" spans="1:65" ht="13.5" customHeight="1">
      <c r="A150" s="26" t="s">
        <v>54</v>
      </c>
      <c r="B150" s="25"/>
      <c r="C150" s="25"/>
      <c r="D150" s="25"/>
      <c r="E150" s="25"/>
      <c r="F150" s="27"/>
      <c r="G150" s="36" t="s">
        <v>227</v>
      </c>
      <c r="H150" s="13">
        <v>0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</row>
    <row r="151" spans="1:65" ht="13.5" customHeight="1">
      <c r="A151" s="20" t="s">
        <v>308</v>
      </c>
      <c r="B151" s="15"/>
      <c r="C151" s="15"/>
      <c r="D151" s="15"/>
      <c r="E151" s="15"/>
      <c r="F151" s="16"/>
      <c r="G151" s="39" t="s">
        <v>386</v>
      </c>
      <c r="H151" s="90">
        <f>H149*(F63/2+0.5*F10*TAN(RADIANS(L28)))</f>
        <v>1.180124075210813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</row>
    <row r="152" spans="1:65" ht="19.5" customHeight="1">
      <c r="A152" s="45" t="s">
        <v>490</v>
      </c>
      <c r="B152" s="15"/>
      <c r="C152" s="15"/>
      <c r="D152" s="15"/>
      <c r="E152" s="15"/>
      <c r="F152" s="15"/>
      <c r="G152" s="6"/>
      <c r="H152" s="36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</row>
    <row r="153" spans="1:65" ht="13.5" customHeight="1">
      <c r="A153" s="17" t="s">
        <v>348</v>
      </c>
      <c r="B153" s="18"/>
      <c r="C153" s="18"/>
      <c r="D153" s="18"/>
      <c r="E153" s="18"/>
      <c r="F153" s="14"/>
      <c r="G153" s="36" t="s">
        <v>381</v>
      </c>
      <c r="H153" s="13">
        <v>0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1:65" ht="13.5" customHeight="1">
      <c r="A154" s="26" t="s">
        <v>103</v>
      </c>
      <c r="B154" s="25"/>
      <c r="C154" s="25"/>
      <c r="D154" s="25"/>
      <c r="E154" s="25"/>
      <c r="F154" s="27"/>
      <c r="G154" s="36" t="s">
        <v>133</v>
      </c>
      <c r="H154" s="13">
        <v>0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1:65" ht="13.5" customHeight="1">
      <c r="A155" s="20" t="s">
        <v>234</v>
      </c>
      <c r="B155" s="15"/>
      <c r="C155" s="15"/>
      <c r="D155" s="15"/>
      <c r="E155" s="15"/>
      <c r="F155" s="16"/>
      <c r="G155" s="36" t="s">
        <v>134</v>
      </c>
      <c r="H155" s="13">
        <v>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ht="30" customHeight="1">
      <c r="A156" s="12" t="s">
        <v>287</v>
      </c>
      <c r="B156" s="6"/>
      <c r="C156" s="6"/>
      <c r="D156" s="6"/>
      <c r="E156" s="6"/>
      <c r="F156" s="6"/>
      <c r="G156" s="6"/>
      <c r="H156" s="9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1:65" ht="13.5" customHeight="1">
      <c r="A157" s="17" t="s">
        <v>78</v>
      </c>
      <c r="B157" s="18"/>
      <c r="C157" s="18"/>
      <c r="D157" s="18"/>
      <c r="E157" s="18"/>
      <c r="F157" s="14"/>
      <c r="G157" s="40" t="s">
        <v>370</v>
      </c>
      <c r="H157" s="285">
        <f>COS(RADIANS(F67-F83-F69))^2/(COS(RADIANS(F83))*COS(RADIANS(F69))^2*COS(RADIANS(F70+F69+F83))*(1+SQRT((SIN(RADIANS(F67+F70))*SIN(RADIANS(F67-F83-L28)))/(COS(RADIANS(F69+F83+F70))*COS(RADIANS(F69-L28)))))^2)</f>
        <v>0.36254161726717005</v>
      </c>
      <c r="J157" s="154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5" ht="13.5" customHeight="1">
      <c r="A158" s="20" t="s">
        <v>500</v>
      </c>
      <c r="B158" s="15"/>
      <c r="C158" s="15"/>
      <c r="D158" s="15"/>
      <c r="E158" s="15"/>
      <c r="F158" s="16"/>
      <c r="G158" s="39" t="s">
        <v>371</v>
      </c>
      <c r="H158" s="90">
        <f>H157/H121-1</f>
        <v>0.44416085193207344</v>
      </c>
      <c r="I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5" ht="19.5" customHeight="1">
      <c r="A159" s="45" t="s">
        <v>110</v>
      </c>
      <c r="B159" s="15"/>
      <c r="C159" s="15"/>
      <c r="D159" s="15"/>
      <c r="E159" s="15"/>
      <c r="F159" s="15"/>
      <c r="G159" s="6"/>
      <c r="H159" s="9"/>
      <c r="I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1:65" ht="15" customHeight="1">
      <c r="A160" s="5" t="s">
        <v>120</v>
      </c>
      <c r="B160" s="6"/>
      <c r="C160" s="6"/>
      <c r="D160" s="6"/>
      <c r="E160" s="6"/>
      <c r="F160" s="7"/>
      <c r="G160" s="36" t="s">
        <v>121</v>
      </c>
      <c r="H160" s="84">
        <f>H145*H158</f>
        <v>5.442748893510009</v>
      </c>
      <c r="I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1:65" ht="19.5" customHeight="1">
      <c r="A161" s="45" t="s">
        <v>56</v>
      </c>
      <c r="B161" s="15"/>
      <c r="C161" s="15"/>
      <c r="D161" s="15"/>
      <c r="E161" s="15"/>
      <c r="F161" s="15"/>
      <c r="G161" s="6"/>
      <c r="H161" s="9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1:65" ht="12.75" customHeight="1">
      <c r="A162" s="5" t="s">
        <v>120</v>
      </c>
      <c r="B162" s="6"/>
      <c r="C162" s="6"/>
      <c r="D162" s="6"/>
      <c r="E162" s="6"/>
      <c r="F162" s="7"/>
      <c r="G162" s="36" t="s">
        <v>121</v>
      </c>
      <c r="H162" s="84">
        <f>H138*H158</f>
        <v>0.4835097745528957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1:65" ht="12.75" customHeight="1">
      <c r="A163" s="25"/>
      <c r="B163" s="25"/>
      <c r="C163" s="25"/>
      <c r="D163" s="25"/>
      <c r="E163" s="25"/>
      <c r="F163" s="25"/>
      <c r="G163" s="37"/>
      <c r="H163" s="279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1:65" ht="12.75" customHeight="1">
      <c r="A164" s="280" t="s">
        <v>243</v>
      </c>
      <c r="B164" s="149"/>
      <c r="C164" s="149"/>
      <c r="D164" s="149"/>
      <c r="E164" s="149"/>
      <c r="F164" s="149"/>
      <c r="G164" s="149"/>
      <c r="H164" s="85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</row>
    <row r="165" spans="1:65" ht="12.75" customHeight="1">
      <c r="A165" s="19" t="s">
        <v>320</v>
      </c>
      <c r="B165" s="62" t="s">
        <v>122</v>
      </c>
      <c r="C165" s="284">
        <f>F63</f>
        <v>2</v>
      </c>
      <c r="D165" s="19" t="s">
        <v>321</v>
      </c>
      <c r="E165" s="62" t="s">
        <v>122</v>
      </c>
      <c r="F165" s="284">
        <f>F5</f>
        <v>3.3</v>
      </c>
      <c r="G165" s="282" t="s">
        <v>347</v>
      </c>
      <c r="H165" s="283">
        <f>F71</f>
        <v>1.2999999999999998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</row>
    <row r="166" spans="1:65" ht="12.75" customHeight="1">
      <c r="A166" s="17" t="s">
        <v>410</v>
      </c>
      <c r="B166" s="73"/>
      <c r="C166" s="73"/>
      <c r="D166" s="73"/>
      <c r="E166" s="18"/>
      <c r="F166" s="276"/>
      <c r="G166" s="36" t="s">
        <v>231</v>
      </c>
      <c r="H166" s="13">
        <f>F72</f>
        <v>16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</row>
    <row r="167" spans="1:65" ht="12.75" customHeight="1">
      <c r="A167" s="26" t="s">
        <v>248</v>
      </c>
      <c r="B167" s="75"/>
      <c r="C167" s="75"/>
      <c r="D167" s="75"/>
      <c r="E167" s="25"/>
      <c r="F167" s="277"/>
      <c r="G167" s="36" t="s">
        <v>259</v>
      </c>
      <c r="H167" s="13">
        <f>F73</f>
        <v>23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</row>
    <row r="168" spans="1:65" ht="12.75" customHeight="1">
      <c r="A168" s="26" t="s">
        <v>151</v>
      </c>
      <c r="B168" s="75"/>
      <c r="C168" s="75"/>
      <c r="D168" s="75"/>
      <c r="E168" s="37"/>
      <c r="F168" s="277"/>
      <c r="G168" s="36" t="s">
        <v>162</v>
      </c>
      <c r="H168" s="13">
        <f>F75</f>
        <v>28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</row>
    <row r="169" spans="1:65" ht="12.75" customHeight="1">
      <c r="A169" s="26" t="s">
        <v>233</v>
      </c>
      <c r="B169" s="75"/>
      <c r="C169" s="75"/>
      <c r="D169" s="75"/>
      <c r="E169" s="37"/>
      <c r="F169" s="277"/>
      <c r="G169" s="36" t="s">
        <v>488</v>
      </c>
      <c r="H169" s="13">
        <f>F76</f>
        <v>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</row>
    <row r="170" spans="1:65" ht="12.75" customHeight="1">
      <c r="A170" s="20" t="s">
        <v>258</v>
      </c>
      <c r="B170" s="77"/>
      <c r="C170" s="77"/>
      <c r="D170" s="77"/>
      <c r="E170" s="15"/>
      <c r="F170" s="278"/>
      <c r="G170" s="36" t="s">
        <v>441</v>
      </c>
      <c r="H170" s="13">
        <f>F77</f>
        <v>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</row>
    <row r="171" spans="1:65" ht="12.75" customHeight="1">
      <c r="A171" s="78" t="s">
        <v>322</v>
      </c>
      <c r="B171" s="75"/>
      <c r="C171" s="75"/>
      <c r="D171" s="75"/>
      <c r="E171" s="25"/>
      <c r="F171" s="274"/>
      <c r="G171" s="116"/>
      <c r="H171" s="275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</row>
    <row r="172" spans="1:65" ht="12.75" customHeight="1">
      <c r="A172" s="72" t="s">
        <v>72</v>
      </c>
      <c r="B172" s="73"/>
      <c r="C172" s="73"/>
      <c r="D172" s="73"/>
      <c r="E172" s="18"/>
      <c r="F172" s="276"/>
      <c r="G172" s="36" t="s">
        <v>274</v>
      </c>
      <c r="H172" s="13">
        <f>F64*H110+L29</f>
        <v>42.02700197565148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</row>
    <row r="173" spans="1:65" ht="12.75" customHeight="1">
      <c r="A173" s="76" t="s">
        <v>67</v>
      </c>
      <c r="B173" s="77"/>
      <c r="C173" s="77"/>
      <c r="D173" s="77"/>
      <c r="E173" s="15"/>
      <c r="F173" s="278"/>
      <c r="G173" s="36" t="s">
        <v>275</v>
      </c>
      <c r="H173" s="13">
        <f>L30</f>
        <v>2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</row>
    <row r="174" spans="1:65" ht="12.75" customHeight="1">
      <c r="A174" s="82" t="s">
        <v>80</v>
      </c>
      <c r="B174" s="25"/>
      <c r="C174" s="25"/>
      <c r="D174" s="25"/>
      <c r="E174" s="25"/>
      <c r="F174" s="25"/>
      <c r="G174" s="15"/>
      <c r="H174" s="273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1:65" ht="12.75" customHeight="1">
      <c r="A175" s="17" t="s">
        <v>516</v>
      </c>
      <c r="B175" s="18"/>
      <c r="C175" s="18"/>
      <c r="D175" s="18"/>
      <c r="E175" s="18"/>
      <c r="F175" s="14"/>
      <c r="G175" s="36" t="s">
        <v>183</v>
      </c>
      <c r="H175" s="13">
        <f>45+F75/2</f>
        <v>59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</row>
    <row r="176" spans="1:65" ht="12.75" customHeight="1">
      <c r="A176" s="20" t="s">
        <v>281</v>
      </c>
      <c r="B176" s="15"/>
      <c r="C176" s="15"/>
      <c r="D176" s="15"/>
      <c r="E176" s="15"/>
      <c r="F176" s="16"/>
      <c r="G176" s="36" t="s">
        <v>376</v>
      </c>
      <c r="H176" s="13">
        <f>COS(RADIANS(F75-F69))^2/(COS(RADIANS(F69))^2*COS(RADIANS(F69+F77))*(1+SQRT((SIN(RADIANS(F75+F77))*SIN(RADIANS(F75-F69)))/(COS(RADIANS(F69+F77))*COS(RADIANS(F69-L28)))))^2)</f>
        <v>0.3603998434559293</v>
      </c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</row>
    <row r="177" spans="1:65" ht="12.75" customHeight="1">
      <c r="A177" s="47" t="s">
        <v>511</v>
      </c>
      <c r="B177" s="25"/>
      <c r="C177" s="25"/>
      <c r="D177" s="25"/>
      <c r="E177" s="25"/>
      <c r="F177"/>
      <c r="G177"/>
      <c r="H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</row>
    <row r="178" spans="1:65" ht="12.75" customHeight="1">
      <c r="A178" s="17" t="s">
        <v>299</v>
      </c>
      <c r="B178" s="73"/>
      <c r="C178" s="73"/>
      <c r="D178" s="73"/>
      <c r="E178" s="18"/>
      <c r="F178" s="14"/>
      <c r="G178" s="36" t="s">
        <v>377</v>
      </c>
      <c r="H178" s="13">
        <f>H172*H176</f>
        <v>15.146524932946825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</row>
    <row r="179" spans="1:65" ht="12.75" customHeight="1">
      <c r="A179" s="26" t="s">
        <v>425</v>
      </c>
      <c r="B179" s="25"/>
      <c r="C179" s="25"/>
      <c r="D179" s="25"/>
      <c r="E179" s="25"/>
      <c r="F179" s="27"/>
      <c r="G179" s="36" t="s">
        <v>286</v>
      </c>
      <c r="H179" s="13">
        <f>H178+F72*H165*H176</f>
        <v>22.64284167683015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</row>
    <row r="180" spans="1:65" ht="12.75" customHeight="1">
      <c r="A180" s="26" t="s">
        <v>47</v>
      </c>
      <c r="B180" s="25"/>
      <c r="C180" s="25"/>
      <c r="D180" s="25"/>
      <c r="E180" s="25"/>
      <c r="F180" s="27"/>
      <c r="G180" s="36" t="s">
        <v>176</v>
      </c>
      <c r="H180" s="13">
        <f>0.5*(H178+H179)*F71</f>
        <v>24.56308829635503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</row>
    <row r="181" spans="1:65" ht="12.75" customHeight="1">
      <c r="A181" s="26" t="s">
        <v>312</v>
      </c>
      <c r="B181" s="25"/>
      <c r="C181" s="25"/>
      <c r="D181" s="25"/>
      <c r="E181" s="25"/>
      <c r="F181" s="27"/>
      <c r="G181" s="36" t="s">
        <v>442</v>
      </c>
      <c r="H181" s="13">
        <v>0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</row>
    <row r="182" spans="1:65" ht="12.75" customHeight="1">
      <c r="A182" s="26" t="s">
        <v>98</v>
      </c>
      <c r="B182" s="25"/>
      <c r="C182" s="25"/>
      <c r="D182" s="25"/>
      <c r="E182" s="25"/>
      <c r="F182" s="27"/>
      <c r="G182" s="36" t="s">
        <v>33</v>
      </c>
      <c r="H182" s="13">
        <f>H180*COS(RADIANS(H181))</f>
        <v>24.56308829635503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</row>
    <row r="183" spans="1:65" ht="12.75" customHeight="1">
      <c r="A183" s="26" t="s">
        <v>99</v>
      </c>
      <c r="B183" s="25"/>
      <c r="C183" s="25"/>
      <c r="D183" s="25"/>
      <c r="E183" s="25"/>
      <c r="F183" s="27"/>
      <c r="G183" s="36" t="s">
        <v>481</v>
      </c>
      <c r="H183" s="13">
        <f>H179*SIN(RADIANS(H181))</f>
        <v>0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</row>
    <row r="184" spans="1:65" ht="12.75" customHeight="1">
      <c r="A184" s="26" t="s">
        <v>109</v>
      </c>
      <c r="B184" s="25"/>
      <c r="C184" s="25"/>
      <c r="D184" s="25"/>
      <c r="E184" s="25"/>
      <c r="F184" s="27"/>
      <c r="G184" s="36" t="s">
        <v>363</v>
      </c>
      <c r="H184" s="13">
        <f>-H182*H185</f>
        <v>-66.1479152601044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</row>
    <row r="185" spans="1:65" ht="12.75" customHeight="1">
      <c r="A185" s="20" t="s">
        <v>355</v>
      </c>
      <c r="B185" s="15"/>
      <c r="C185" s="15"/>
      <c r="D185" s="15"/>
      <c r="E185" s="50" t="s">
        <v>241</v>
      </c>
      <c r="F185" s="63">
        <f>-F10</f>
        <v>-1.6</v>
      </c>
      <c r="G185" s="41" t="s">
        <v>122</v>
      </c>
      <c r="H185" s="63">
        <f>IF(H165=0,0,F63+((H172*H176*H165)*H165/2+(0.5*H166*H176*H165*H165)*2*H165/3)/((H172*H176*H165)+(0.5*H166*H176*H165*H165)))</f>
        <v>2.6929803965212398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</row>
    <row r="186" spans="1:65" ht="12.75" customHeight="1">
      <c r="A186" s="25"/>
      <c r="B186" s="25"/>
      <c r="C186" s="25"/>
      <c r="D186" s="25"/>
      <c r="E186" s="296" t="s">
        <v>165</v>
      </c>
      <c r="F186" s="297">
        <f>F15</f>
        <v>2.4000000000000004</v>
      </c>
      <c r="G186" s="50" t="s">
        <v>166</v>
      </c>
      <c r="H186" s="63">
        <f>F5-H185</f>
        <v>0.60701960347876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</row>
    <row r="187" spans="1:65" ht="42.75" customHeight="1">
      <c r="A187" s="78" t="s">
        <v>512</v>
      </c>
      <c r="B187" s="25"/>
      <c r="C187" s="25"/>
      <c r="D187" s="25"/>
      <c r="E187" s="25"/>
      <c r="F187"/>
      <c r="G187"/>
      <c r="H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</row>
    <row r="188" spans="1:65" ht="12.75" customHeight="1">
      <c r="A188" s="17" t="s">
        <v>299</v>
      </c>
      <c r="B188" s="73"/>
      <c r="C188" s="73"/>
      <c r="D188" s="73"/>
      <c r="E188" s="18"/>
      <c r="F188" s="14"/>
      <c r="G188" s="36" t="s">
        <v>377</v>
      </c>
      <c r="H188" s="13">
        <f>H173*H176</f>
        <v>0.7207996869118586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</row>
    <row r="189" spans="1:65" ht="12.75" customHeight="1">
      <c r="A189" s="26" t="s">
        <v>425</v>
      </c>
      <c r="B189" s="25"/>
      <c r="C189" s="25"/>
      <c r="D189" s="25"/>
      <c r="E189" s="25"/>
      <c r="F189" s="27"/>
      <c r="G189" s="36" t="s">
        <v>286</v>
      </c>
      <c r="H189" s="13">
        <f>H173*H176</f>
        <v>0.7207996869118586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</row>
    <row r="190" spans="1:65" ht="12.75" customHeight="1">
      <c r="A190" s="26" t="s">
        <v>47</v>
      </c>
      <c r="B190" s="25"/>
      <c r="C190" s="25"/>
      <c r="D190" s="25"/>
      <c r="E190" s="25"/>
      <c r="F190" s="27"/>
      <c r="G190" s="36" t="s">
        <v>176</v>
      </c>
      <c r="H190" s="13">
        <f>0.5*(H188+H189)*H165</f>
        <v>0.9370395929854161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</row>
    <row r="191" spans="1:65" ht="12.75" customHeight="1">
      <c r="A191" s="26" t="s">
        <v>312</v>
      </c>
      <c r="B191" s="25"/>
      <c r="C191" s="25"/>
      <c r="D191" s="25"/>
      <c r="E191" s="25"/>
      <c r="F191" s="27"/>
      <c r="G191" s="36" t="s">
        <v>442</v>
      </c>
      <c r="H191" s="13">
        <v>0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</row>
    <row r="192" spans="1:65" ht="12.75" customHeight="1">
      <c r="A192" s="26" t="s">
        <v>98</v>
      </c>
      <c r="B192" s="25"/>
      <c r="C192" s="25"/>
      <c r="D192" s="25"/>
      <c r="E192" s="25"/>
      <c r="F192" s="27"/>
      <c r="G192" s="36" t="s">
        <v>33</v>
      </c>
      <c r="H192" s="13">
        <f>H190*COS(RADIANS(H191))</f>
        <v>0.9370395929854161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</row>
    <row r="193" spans="1:65" ht="12.75" customHeight="1">
      <c r="A193" s="26" t="s">
        <v>99</v>
      </c>
      <c r="B193" s="25"/>
      <c r="C193" s="25"/>
      <c r="D193" s="25"/>
      <c r="E193" s="25"/>
      <c r="F193" s="27"/>
      <c r="G193" s="36" t="s">
        <v>481</v>
      </c>
      <c r="H193" s="13">
        <f>H189*SIN(RADIANS(H191))</f>
        <v>0</v>
      </c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</row>
    <row r="194" spans="1:65" ht="12.75" customHeight="1">
      <c r="A194" s="20" t="s">
        <v>109</v>
      </c>
      <c r="B194" s="15"/>
      <c r="C194" s="15"/>
      <c r="D194" s="15"/>
      <c r="E194" s="15"/>
      <c r="F194" s="16"/>
      <c r="G194" s="36" t="s">
        <v>363</v>
      </c>
      <c r="H194" s="13">
        <f>-H192*H195</f>
        <v>-2.4831549214113524</v>
      </c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</row>
    <row r="195" spans="1:65" ht="12.75" customHeight="1">
      <c r="A195" s="26" t="s">
        <v>355</v>
      </c>
      <c r="B195" s="25"/>
      <c r="C195" s="25"/>
      <c r="D195" s="25"/>
      <c r="E195" s="50" t="s">
        <v>241</v>
      </c>
      <c r="F195" s="63">
        <f>-F10</f>
        <v>-1.6</v>
      </c>
      <c r="G195" s="41" t="s">
        <v>122</v>
      </c>
      <c r="H195" s="63">
        <f>F63+F71/2</f>
        <v>2.65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</row>
    <row r="196" spans="1:65" ht="12.75" customHeight="1">
      <c r="A196" s="25"/>
      <c r="B196" s="25"/>
      <c r="C196" s="25"/>
      <c r="D196" s="25"/>
      <c r="E196" s="50" t="s">
        <v>165</v>
      </c>
      <c r="F196" s="63">
        <f>F15</f>
        <v>2.4000000000000004</v>
      </c>
      <c r="G196" s="50" t="s">
        <v>166</v>
      </c>
      <c r="H196" s="63">
        <f>F5-H195</f>
        <v>0.6499999999999999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</row>
    <row r="197" spans="1:65" ht="12.75" customHeight="1">
      <c r="A197" s="78" t="s">
        <v>513</v>
      </c>
      <c r="B197" s="25"/>
      <c r="C197" s="25"/>
      <c r="D197" s="25"/>
      <c r="E197" s="25"/>
      <c r="F197" s="69"/>
      <c r="G197" s="37"/>
      <c r="H197" s="183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</row>
    <row r="198" spans="1:65" ht="12.75" customHeight="1">
      <c r="A198" s="45" t="s">
        <v>110</v>
      </c>
      <c r="B198" s="15"/>
      <c r="C198" s="15"/>
      <c r="D198" s="16"/>
      <c r="E198" s="50" t="s">
        <v>241</v>
      </c>
      <c r="F198" s="63">
        <f>-F10</f>
        <v>-1.6</v>
      </c>
      <c r="G198" s="50" t="s">
        <v>122</v>
      </c>
      <c r="H198" s="63">
        <f>F5</f>
        <v>3.3</v>
      </c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</row>
    <row r="199" spans="1:65" ht="12.75" customHeight="1">
      <c r="A199" s="17" t="s">
        <v>106</v>
      </c>
      <c r="B199" s="18"/>
      <c r="C199" s="18"/>
      <c r="D199" s="18"/>
      <c r="E199" s="18"/>
      <c r="F199" s="14"/>
      <c r="G199" s="36" t="s">
        <v>226</v>
      </c>
      <c r="H199" s="13">
        <f>H128+H182</f>
        <v>36.81709238031329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</row>
    <row r="200" spans="1:65" ht="12.75" customHeight="1">
      <c r="A200" s="26" t="s">
        <v>54</v>
      </c>
      <c r="B200" s="25"/>
      <c r="C200" s="25"/>
      <c r="D200" s="25"/>
      <c r="E200" s="25"/>
      <c r="F200" s="27"/>
      <c r="G200" s="36" t="s">
        <v>227</v>
      </c>
      <c r="H200" s="13">
        <f>H183</f>
        <v>0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</row>
    <row r="201" spans="1:65" ht="12.75" customHeight="1">
      <c r="A201" s="20" t="s">
        <v>55</v>
      </c>
      <c r="B201" s="15"/>
      <c r="C201" s="15"/>
      <c r="D201" s="15"/>
      <c r="E201" s="15"/>
      <c r="F201" s="16"/>
      <c r="G201" s="39" t="s">
        <v>386</v>
      </c>
      <c r="H201" s="90">
        <f>H128*H132+H182*H186</f>
        <v>40.28678497562354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</row>
    <row r="202" spans="1:65" ht="12.75" customHeight="1">
      <c r="A202" s="45" t="s">
        <v>56</v>
      </c>
      <c r="B202" s="15"/>
      <c r="C202" s="15"/>
      <c r="D202" s="15"/>
      <c r="E202" s="15"/>
      <c r="F202" s="15"/>
      <c r="G202" s="6"/>
      <c r="H202" s="9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</row>
    <row r="203" spans="1:65" ht="12.75" customHeight="1">
      <c r="A203" s="17" t="s">
        <v>106</v>
      </c>
      <c r="B203" s="18"/>
      <c r="C203" s="18"/>
      <c r="D203" s="18"/>
      <c r="E203" s="18"/>
      <c r="F203" s="14"/>
      <c r="G203" s="36" t="s">
        <v>226</v>
      </c>
      <c r="H203" s="13">
        <f>H138+H192</f>
        <v>2.0256311976927126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</row>
    <row r="204" spans="1:65" ht="12.75" customHeight="1">
      <c r="A204" s="26" t="s">
        <v>54</v>
      </c>
      <c r="B204" s="25"/>
      <c r="C204" s="25"/>
      <c r="D204" s="25"/>
      <c r="E204" s="25"/>
      <c r="F204" s="27"/>
      <c r="G204" s="36" t="s">
        <v>227</v>
      </c>
      <c r="H204" s="13">
        <f>H139+H193</f>
        <v>0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</row>
    <row r="205" spans="1:65" ht="12.75" customHeight="1">
      <c r="A205" s="20" t="s">
        <v>308</v>
      </c>
      <c r="B205" s="15"/>
      <c r="C205" s="15"/>
      <c r="D205" s="15"/>
      <c r="E205" s="15"/>
      <c r="F205" s="16"/>
      <c r="G205" s="39" t="s">
        <v>386</v>
      </c>
      <c r="H205" s="90">
        <f>H138*H142+H192*H196</f>
        <v>3.204368896770818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</row>
    <row r="206" spans="1:65" ht="12.75" customHeight="1">
      <c r="A206" s="45" t="s">
        <v>490</v>
      </c>
      <c r="B206" s="15"/>
      <c r="C206" s="15"/>
      <c r="D206" s="15"/>
      <c r="E206" s="15"/>
      <c r="F206" s="15"/>
      <c r="G206" s="6"/>
      <c r="H206" s="9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</row>
    <row r="207" spans="1:65" ht="12.75" customHeight="1">
      <c r="A207" s="17" t="s">
        <v>348</v>
      </c>
      <c r="B207" s="18"/>
      <c r="C207" s="18"/>
      <c r="D207" s="18"/>
      <c r="E207" s="18"/>
      <c r="F207" s="14"/>
      <c r="G207" s="36" t="s">
        <v>381</v>
      </c>
      <c r="H207" s="13">
        <v>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</row>
    <row r="208" spans="1:65" ht="12.75" customHeight="1">
      <c r="A208" s="26" t="s">
        <v>103</v>
      </c>
      <c r="B208" s="25"/>
      <c r="C208" s="25"/>
      <c r="D208" s="25"/>
      <c r="E208" s="25"/>
      <c r="F208" s="27"/>
      <c r="G208" s="36" t="s">
        <v>133</v>
      </c>
      <c r="H208" s="13">
        <v>0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</row>
    <row r="209" spans="1:65" ht="12.75" customHeight="1">
      <c r="A209" s="20" t="s">
        <v>234</v>
      </c>
      <c r="B209" s="15"/>
      <c r="C209" s="15"/>
      <c r="D209" s="15"/>
      <c r="E209" s="15"/>
      <c r="F209" s="16"/>
      <c r="G209" s="36" t="s">
        <v>134</v>
      </c>
      <c r="H209" s="13">
        <v>0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</row>
    <row r="210" spans="1:65" ht="12.75" customHeight="1">
      <c r="A210" s="12" t="s">
        <v>287</v>
      </c>
      <c r="B210" s="6"/>
      <c r="C210" s="6"/>
      <c r="D210" s="6"/>
      <c r="E210" s="6"/>
      <c r="F210" s="6"/>
      <c r="G210" s="6"/>
      <c r="H210" s="9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</row>
    <row r="211" spans="1:65" ht="12.75" customHeight="1">
      <c r="A211" s="17" t="s">
        <v>78</v>
      </c>
      <c r="B211" s="18"/>
      <c r="C211" s="18"/>
      <c r="D211" s="18"/>
      <c r="E211" s="18"/>
      <c r="F211" s="14"/>
      <c r="G211" s="40" t="s">
        <v>370</v>
      </c>
      <c r="H211" s="285">
        <f>COS(RADIANS(H168-F83-F69))^2/(COS(RADIANS(F83))*COS(RADIANS(F69))^2*COS(RADIANS(F77+F69+F83))*(1+SQRT((SIN(RADIANS(F75+F77))*SIN(RADIANS(F75-F83-F69)))/(COS(RADIANS(F69+F83+F77))*COS(RADIANS(F69-L28)))))^2)</f>
        <v>0.4842330429291672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</row>
    <row r="212" spans="1:65" ht="12.75" customHeight="1">
      <c r="A212" s="20" t="s">
        <v>500</v>
      </c>
      <c r="B212" s="15"/>
      <c r="C212" s="15"/>
      <c r="D212" s="15"/>
      <c r="E212" s="15"/>
      <c r="F212" s="16"/>
      <c r="G212" s="39" t="s">
        <v>371</v>
      </c>
      <c r="H212" s="90">
        <f>H211/H176-1</f>
        <v>0.34359948185821176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</row>
    <row r="213" spans="1:65" ht="12.75" customHeight="1">
      <c r="A213" s="45" t="s">
        <v>110</v>
      </c>
      <c r="B213" s="15"/>
      <c r="C213" s="15"/>
      <c r="D213" s="15"/>
      <c r="E213" s="15"/>
      <c r="F213" s="15"/>
      <c r="G213" s="6"/>
      <c r="H213" s="9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</row>
    <row r="214" spans="1:65" ht="12.75" customHeight="1">
      <c r="A214" s="5" t="s">
        <v>120</v>
      </c>
      <c r="B214" s="6"/>
      <c r="C214" s="6"/>
      <c r="D214" s="6"/>
      <c r="E214" s="6"/>
      <c r="F214" s="7"/>
      <c r="G214" s="36" t="s">
        <v>121</v>
      </c>
      <c r="H214" s="84">
        <f>H182*H212</f>
        <v>8.439864411465093</v>
      </c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</row>
    <row r="215" spans="1:65" ht="12.75" customHeight="1">
      <c r="A215" s="45" t="s">
        <v>56</v>
      </c>
      <c r="B215" s="15"/>
      <c r="C215" s="15"/>
      <c r="D215" s="15"/>
      <c r="E215" s="15"/>
      <c r="F215" s="15"/>
      <c r="G215" s="6"/>
      <c r="H215" s="9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</row>
    <row r="216" spans="1:65" ht="12.75" customHeight="1">
      <c r="A216" s="5" t="s">
        <v>120</v>
      </c>
      <c r="B216" s="6"/>
      <c r="C216" s="6"/>
      <c r="D216" s="6"/>
      <c r="E216" s="6"/>
      <c r="F216" s="7"/>
      <c r="G216" s="36" t="s">
        <v>121</v>
      </c>
      <c r="H216" s="84">
        <f>H192*H212</f>
        <v>0.3219663186304186</v>
      </c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</row>
    <row r="217" spans="1:65" ht="30" customHeight="1">
      <c r="A217" s="81" t="s">
        <v>351</v>
      </c>
      <c r="B217" s="25"/>
      <c r="C217" s="25"/>
      <c r="D217" s="25"/>
      <c r="E217" s="25"/>
      <c r="F217" s="25"/>
      <c r="G217" s="25"/>
      <c r="H217" s="25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</row>
    <row r="218" spans="1:65" ht="13.5" customHeight="1">
      <c r="A218" s="71" t="s">
        <v>320</v>
      </c>
      <c r="B218" s="57" t="s">
        <v>122</v>
      </c>
      <c r="C218" s="286">
        <f>F5-L63</f>
        <v>2.5</v>
      </c>
      <c r="D218" s="71" t="s">
        <v>321</v>
      </c>
      <c r="E218" s="57" t="s">
        <v>122</v>
      </c>
      <c r="F218" s="286">
        <f>F5</f>
        <v>3.3</v>
      </c>
      <c r="G218" s="282" t="s">
        <v>329</v>
      </c>
      <c r="H218" s="283">
        <f>L63</f>
        <v>0.8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</row>
    <row r="219" spans="1:65" ht="19.5" customHeight="1">
      <c r="A219" s="78" t="s">
        <v>80</v>
      </c>
      <c r="B219" s="25"/>
      <c r="C219" s="25"/>
      <c r="D219" s="25"/>
      <c r="E219" s="25"/>
      <c r="F219" s="25"/>
      <c r="G219" s="25"/>
      <c r="H219" s="25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</row>
    <row r="220" spans="1:65" ht="15" customHeight="1">
      <c r="A220" s="17" t="s">
        <v>517</v>
      </c>
      <c r="B220" s="18"/>
      <c r="C220" s="18"/>
      <c r="D220" s="18"/>
      <c r="E220" s="18"/>
      <c r="F220" s="14"/>
      <c r="G220" s="36" t="s">
        <v>183</v>
      </c>
      <c r="H220" s="55">
        <f>45-L67/2</f>
        <v>30</v>
      </c>
      <c r="I220" s="148" t="s">
        <v>225</v>
      </c>
      <c r="J220" s="149"/>
      <c r="K220" s="149"/>
      <c r="L220" s="85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</row>
    <row r="221" spans="1:65" ht="15" customHeight="1">
      <c r="A221" s="26" t="s">
        <v>352</v>
      </c>
      <c r="B221" s="25"/>
      <c r="C221" s="25"/>
      <c r="D221" s="25"/>
      <c r="E221" s="25"/>
      <c r="F221" s="27"/>
      <c r="G221" s="36" t="s">
        <v>353</v>
      </c>
      <c r="H221" s="55">
        <f>COS(RADIANS(L67+L69))^2/(COS(RADIANS(L69))^2*COS(RADIANS(L69-L70))*(1-SQRT(SIN(RADIANS(L67+L70))*SIN(RADIANS(L67+L64))/(COS(RADIANS(L69-L70))*COS(RADIANS(L69-L64)))))^2)</f>
        <v>3.0000000000000004</v>
      </c>
      <c r="I221" s="74"/>
      <c r="J221" s="25"/>
      <c r="K221" s="25"/>
      <c r="L221" s="27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</row>
    <row r="222" spans="1:65" ht="15" customHeight="1">
      <c r="A222" s="26" t="s">
        <v>340</v>
      </c>
      <c r="B222" s="25"/>
      <c r="C222" s="25"/>
      <c r="D222" s="25"/>
      <c r="E222" s="25"/>
      <c r="F222" s="27"/>
      <c r="G222" s="36" t="s">
        <v>377</v>
      </c>
      <c r="H222" s="55">
        <v>0</v>
      </c>
      <c r="I222" s="74"/>
      <c r="J222" s="25"/>
      <c r="K222" s="25"/>
      <c r="L222" s="27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</row>
    <row r="223" spans="1:65" ht="15" customHeight="1">
      <c r="A223" s="26" t="s">
        <v>340</v>
      </c>
      <c r="B223" s="25"/>
      <c r="C223" s="25"/>
      <c r="D223" s="25"/>
      <c r="E223" s="25"/>
      <c r="F223" s="27"/>
      <c r="G223" s="36" t="s">
        <v>286</v>
      </c>
      <c r="H223" s="55">
        <f>-(H222+L65*L63*H221)</f>
        <v>-43.20000000000001</v>
      </c>
      <c r="I223" s="74"/>
      <c r="J223" s="25"/>
      <c r="K223" s="25"/>
      <c r="L223" s="27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</row>
    <row r="224" spans="1:65" ht="15" customHeight="1">
      <c r="A224" s="26" t="s">
        <v>175</v>
      </c>
      <c r="B224" s="25"/>
      <c r="C224" s="25"/>
      <c r="D224" s="25"/>
      <c r="E224" s="25"/>
      <c r="F224" s="27"/>
      <c r="G224" s="36" t="s">
        <v>5</v>
      </c>
      <c r="H224" s="55">
        <f>H223*L63/2</f>
        <v>-17.280000000000005</v>
      </c>
      <c r="I224" s="74"/>
      <c r="J224" s="25"/>
      <c r="K224" s="25"/>
      <c r="L224" s="27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</row>
    <row r="225" spans="1:65" ht="15" customHeight="1">
      <c r="A225" s="26" t="s">
        <v>427</v>
      </c>
      <c r="B225" s="25"/>
      <c r="C225" s="25"/>
      <c r="D225" s="25"/>
      <c r="E225" s="25"/>
      <c r="F225" s="27"/>
      <c r="G225" s="36" t="s">
        <v>442</v>
      </c>
      <c r="H225" s="58">
        <f>L69</f>
        <v>0</v>
      </c>
      <c r="I225" s="26"/>
      <c r="J225" s="25"/>
      <c r="K225" s="25"/>
      <c r="L225" s="27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</row>
    <row r="226" spans="1:65" ht="15" customHeight="1">
      <c r="A226" s="26" t="s">
        <v>98</v>
      </c>
      <c r="B226" s="25"/>
      <c r="C226" s="25"/>
      <c r="D226" s="25"/>
      <c r="E226" s="25"/>
      <c r="F226" s="27"/>
      <c r="G226" s="36" t="s">
        <v>221</v>
      </c>
      <c r="H226" s="55">
        <f>H224*COS(RADIANS(H225))</f>
        <v>-17.280000000000005</v>
      </c>
      <c r="I226" s="26"/>
      <c r="J226" s="25"/>
      <c r="K226" s="25"/>
      <c r="L226" s="27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</row>
    <row r="227" spans="1:65" ht="15" customHeight="1">
      <c r="A227" s="26" t="s">
        <v>99</v>
      </c>
      <c r="B227" s="25"/>
      <c r="C227" s="25"/>
      <c r="D227" s="25"/>
      <c r="E227" s="25"/>
      <c r="F227" s="27"/>
      <c r="G227" s="36" t="s">
        <v>222</v>
      </c>
      <c r="H227" s="55">
        <f>-H224*SIN(RADIANS(H225))</f>
        <v>0</v>
      </c>
      <c r="I227" s="26"/>
      <c r="J227" s="25"/>
      <c r="K227" s="25"/>
      <c r="L227" s="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</row>
    <row r="228" spans="1:65" ht="15" customHeight="1">
      <c r="A228" s="26" t="s">
        <v>109</v>
      </c>
      <c r="B228" s="25"/>
      <c r="C228" s="25"/>
      <c r="D228" s="25"/>
      <c r="E228" s="25"/>
      <c r="F228" s="27"/>
      <c r="G228" s="39" t="s">
        <v>363</v>
      </c>
      <c r="H228" s="194">
        <f>ABS(H226)*H229+ABS(H227)*F229</f>
        <v>52.41600000000001</v>
      </c>
      <c r="I228" s="26"/>
      <c r="J228" s="25"/>
      <c r="K228" s="25"/>
      <c r="L228" s="27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</row>
    <row r="229" spans="1:65" ht="15" customHeight="1">
      <c r="A229" s="20" t="s">
        <v>355</v>
      </c>
      <c r="B229" s="15"/>
      <c r="C229" s="15"/>
      <c r="D229" s="15"/>
      <c r="E229" s="50" t="s">
        <v>241</v>
      </c>
      <c r="F229" s="63">
        <f>F6+F7+F9</f>
        <v>0.8</v>
      </c>
      <c r="G229" s="50" t="s">
        <v>122</v>
      </c>
      <c r="H229" s="56">
        <f>F5-L63/3</f>
        <v>3.033333333333333</v>
      </c>
      <c r="I229" s="20"/>
      <c r="J229" s="15"/>
      <c r="K229" s="15"/>
      <c r="L229" s="16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</row>
    <row r="230" spans="1:65" ht="15" customHeight="1">
      <c r="A230" s="25"/>
      <c r="B230" s="25"/>
      <c r="C230" s="25"/>
      <c r="D230" s="25"/>
      <c r="E230" s="25"/>
      <c r="F230" s="25"/>
      <c r="G230" s="37"/>
      <c r="H230" s="171"/>
      <c r="I230" s="25"/>
      <c r="J230" s="25"/>
      <c r="K230" s="25"/>
      <c r="L230" s="25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</row>
    <row r="231" spans="1:65" ht="18" customHeight="1">
      <c r="A231" s="82" t="s">
        <v>436</v>
      </c>
      <c r="B231" s="25"/>
      <c r="C231" s="25"/>
      <c r="D231" s="25"/>
      <c r="E231" s="25"/>
      <c r="F231" s="25"/>
      <c r="G231" s="25"/>
      <c r="H231" s="25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</row>
    <row r="232" spans="1:65" ht="15" customHeight="1">
      <c r="A232" s="184" t="s">
        <v>215</v>
      </c>
      <c r="B232" s="6"/>
      <c r="C232" s="6"/>
      <c r="D232" s="7"/>
      <c r="E232" s="50" t="s">
        <v>241</v>
      </c>
      <c r="F232" s="63">
        <f>F6+F7+F9</f>
        <v>0.8</v>
      </c>
      <c r="G232" s="50" t="s">
        <v>122</v>
      </c>
      <c r="H232" s="89">
        <f>F5</f>
        <v>3.3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</row>
    <row r="233" spans="1:65" ht="18" customHeight="1">
      <c r="A233" s="12" t="s">
        <v>110</v>
      </c>
      <c r="B233" s="6"/>
      <c r="C233" s="6"/>
      <c r="D233" s="6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</row>
    <row r="234" spans="1:65" ht="15" customHeight="1">
      <c r="A234" s="17" t="s">
        <v>106</v>
      </c>
      <c r="B234" s="18"/>
      <c r="C234" s="18"/>
      <c r="D234" s="18"/>
      <c r="E234" s="18"/>
      <c r="F234" s="14"/>
      <c r="G234" s="36" t="s">
        <v>226</v>
      </c>
      <c r="H234" s="55">
        <f>H226</f>
        <v>-17.280000000000005</v>
      </c>
      <c r="I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</row>
    <row r="235" spans="1:65" ht="12.75" customHeight="1">
      <c r="A235" s="26" t="s">
        <v>54</v>
      </c>
      <c r="B235" s="25"/>
      <c r="C235" s="25"/>
      <c r="D235" s="25"/>
      <c r="E235" s="25"/>
      <c r="F235" s="27"/>
      <c r="G235" s="36" t="s">
        <v>227</v>
      </c>
      <c r="H235" s="55">
        <f>H227</f>
        <v>0</v>
      </c>
      <c r="I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</row>
    <row r="236" spans="1:65" ht="15" customHeight="1">
      <c r="A236" s="20" t="s">
        <v>308</v>
      </c>
      <c r="B236" s="15"/>
      <c r="C236" s="15"/>
      <c r="D236" s="15"/>
      <c r="E236" s="15"/>
      <c r="F236" s="16"/>
      <c r="G236" s="36" t="s">
        <v>386</v>
      </c>
      <c r="H236" s="58">
        <f>H234*(H232-H229)-H235*(F232-F229)</f>
        <v>-4.6080000000000005</v>
      </c>
      <c r="I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</row>
    <row r="237" spans="1:65" ht="24.75" customHeight="1">
      <c r="A237" s="2" t="s">
        <v>56</v>
      </c>
      <c r="B237"/>
      <c r="C237"/>
      <c r="D237"/>
      <c r="E237"/>
      <c r="F237"/>
      <c r="G237"/>
      <c r="H237"/>
      <c r="I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</row>
    <row r="238" spans="1:65" ht="15" customHeight="1">
      <c r="A238" s="17" t="s">
        <v>106</v>
      </c>
      <c r="B238" s="18"/>
      <c r="C238" s="18"/>
      <c r="D238" s="18"/>
      <c r="E238" s="18"/>
      <c r="F238" s="14"/>
      <c r="G238" s="57" t="s">
        <v>226</v>
      </c>
      <c r="H238" s="55">
        <v>0</v>
      </c>
      <c r="I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</row>
    <row r="239" spans="1:65" ht="15" customHeight="1">
      <c r="A239" s="26" t="s">
        <v>54</v>
      </c>
      <c r="B239" s="25"/>
      <c r="C239" s="25"/>
      <c r="D239" s="25"/>
      <c r="E239" s="25"/>
      <c r="F239" s="27"/>
      <c r="G239" s="57" t="s">
        <v>227</v>
      </c>
      <c r="H239" s="55">
        <v>0</v>
      </c>
      <c r="I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</row>
    <row r="240" spans="1:65" ht="15" customHeight="1">
      <c r="A240" s="20" t="s">
        <v>55</v>
      </c>
      <c r="B240" s="15"/>
      <c r="C240" s="15"/>
      <c r="D240" s="15"/>
      <c r="E240" s="15"/>
      <c r="F240" s="16"/>
      <c r="G240" s="57" t="s">
        <v>386</v>
      </c>
      <c r="H240" s="55">
        <v>0</v>
      </c>
      <c r="I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</row>
    <row r="241" spans="1:65" ht="24.75" customHeight="1">
      <c r="A241" s="2" t="s">
        <v>216</v>
      </c>
      <c r="B241"/>
      <c r="C241"/>
      <c r="D241"/>
      <c r="E241"/>
      <c r="F241"/>
      <c r="G241"/>
      <c r="H241"/>
      <c r="I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</row>
    <row r="242" spans="1:65" ht="15" customHeight="1">
      <c r="A242" s="17" t="s">
        <v>348</v>
      </c>
      <c r="B242" s="18"/>
      <c r="C242" s="18"/>
      <c r="D242" s="18"/>
      <c r="E242" s="18"/>
      <c r="F242" s="14"/>
      <c r="G242" s="36" t="s">
        <v>381</v>
      </c>
      <c r="H242" s="55">
        <v>0</v>
      </c>
      <c r="I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</row>
    <row r="243" spans="1:65" ht="15" customHeight="1">
      <c r="A243" s="26" t="s">
        <v>103</v>
      </c>
      <c r="B243" s="25"/>
      <c r="C243" s="25"/>
      <c r="D243" s="25"/>
      <c r="E243" s="25"/>
      <c r="F243" s="27"/>
      <c r="G243" s="36" t="s">
        <v>133</v>
      </c>
      <c r="H243" s="55">
        <v>0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</row>
    <row r="244" spans="1:65" ht="15" customHeight="1">
      <c r="A244" s="20" t="s">
        <v>234</v>
      </c>
      <c r="B244" s="15"/>
      <c r="C244" s="15"/>
      <c r="D244" s="15"/>
      <c r="E244" s="15"/>
      <c r="F244" s="16"/>
      <c r="G244" s="36" t="s">
        <v>134</v>
      </c>
      <c r="H244" s="55">
        <v>0</v>
      </c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</row>
    <row r="245" spans="1:65" ht="73.5" customHeight="1">
      <c r="A245" s="25"/>
      <c r="B245" s="25"/>
      <c r="C245" s="25"/>
      <c r="D245" s="25"/>
      <c r="E245" s="25"/>
      <c r="F245" s="25"/>
      <c r="G245" s="37"/>
      <c r="H245" s="183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</row>
    <row r="246" spans="1:65" ht="25.5" customHeight="1">
      <c r="A246" s="81" t="s">
        <v>100</v>
      </c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</row>
    <row r="247" spans="1:65" ht="12.75" customHeight="1">
      <c r="A247" s="78" t="s">
        <v>356</v>
      </c>
      <c r="B247" s="25"/>
      <c r="C247" s="25"/>
      <c r="D247" s="25"/>
      <c r="E247" s="25"/>
      <c r="F247" s="15"/>
      <c r="G247" s="15"/>
      <c r="H247" s="15"/>
      <c r="I247" s="15"/>
      <c r="J247" s="15"/>
      <c r="K247" s="10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</row>
    <row r="248" spans="1:65" ht="15" customHeight="1">
      <c r="A248" s="17" t="s">
        <v>15</v>
      </c>
      <c r="B248" s="18"/>
      <c r="C248" s="18"/>
      <c r="D248" s="18"/>
      <c r="E248" s="14"/>
      <c r="F248" s="51" t="s">
        <v>31</v>
      </c>
      <c r="G248" s="51" t="s">
        <v>32</v>
      </c>
      <c r="H248" s="51" t="s">
        <v>30</v>
      </c>
      <c r="I248" s="51" t="s">
        <v>29</v>
      </c>
      <c r="J248" s="19" t="s">
        <v>70</v>
      </c>
      <c r="K248" s="19" t="s">
        <v>71</v>
      </c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</row>
    <row r="249" spans="1:65" ht="15" customHeight="1">
      <c r="A249" s="26"/>
      <c r="B249" s="25"/>
      <c r="C249" s="25"/>
      <c r="D249" s="25"/>
      <c r="E249" s="27"/>
      <c r="F249" s="20"/>
      <c r="G249" s="20"/>
      <c r="H249" s="52" t="s">
        <v>246</v>
      </c>
      <c r="I249" s="52" t="s">
        <v>246</v>
      </c>
      <c r="J249" s="21" t="s">
        <v>357</v>
      </c>
      <c r="K249" s="21" t="s">
        <v>357</v>
      </c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</row>
    <row r="250" spans="1:65" ht="13.5" customHeight="1">
      <c r="A250" s="17" t="s">
        <v>466</v>
      </c>
      <c r="B250" s="18"/>
      <c r="C250" s="18"/>
      <c r="D250" s="18" t="s">
        <v>7</v>
      </c>
      <c r="E250" s="14"/>
      <c r="F250" s="60">
        <f>-(F10*TAN(RADIANS(L28)))</f>
        <v>-0.16816677642508238</v>
      </c>
      <c r="G250" s="22">
        <f>F63</f>
        <v>2</v>
      </c>
      <c r="H250" s="22">
        <f>H128</f>
        <v>12.254004083958263</v>
      </c>
      <c r="I250" s="22">
        <f>H129</f>
        <v>0</v>
      </c>
      <c r="J250" s="22">
        <f>F131</f>
        <v>-1.6</v>
      </c>
      <c r="K250" s="22">
        <f>H131</f>
        <v>1.2291251509392942</v>
      </c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</row>
    <row r="251" spans="1:65" ht="13.5" customHeight="1">
      <c r="A251" s="26" t="s">
        <v>423</v>
      </c>
      <c r="B251" s="25"/>
      <c r="C251" s="25"/>
      <c r="D251" s="25" t="s">
        <v>8</v>
      </c>
      <c r="E251" s="27"/>
      <c r="F251" s="60">
        <f>-(F10*TAN(RADIANS(L28)))</f>
        <v>-0.16816677642508238</v>
      </c>
      <c r="G251" s="22">
        <f>F63</f>
        <v>2</v>
      </c>
      <c r="H251" s="22">
        <f>H138</f>
        <v>1.0885916047072963</v>
      </c>
      <c r="I251" s="22">
        <v>0</v>
      </c>
      <c r="J251" s="22">
        <f>F141</f>
        <v>-1.6</v>
      </c>
      <c r="K251" s="22">
        <f>H141</f>
        <v>0.9159166117874589</v>
      </c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</row>
    <row r="252" spans="1:65" ht="13.5" customHeight="1">
      <c r="A252" s="26" t="s">
        <v>466</v>
      </c>
      <c r="B252" s="25"/>
      <c r="C252" s="25"/>
      <c r="D252" s="25" t="s">
        <v>7</v>
      </c>
      <c r="E252" s="27"/>
      <c r="F252" s="60">
        <f>F63</f>
        <v>2</v>
      </c>
      <c r="G252" s="22">
        <f>F5</f>
        <v>3.3</v>
      </c>
      <c r="H252" s="22">
        <f>H182</f>
        <v>24.56308829635503</v>
      </c>
      <c r="I252" s="22">
        <f>H183</f>
        <v>0</v>
      </c>
      <c r="J252" s="22">
        <f>F185</f>
        <v>-1.6</v>
      </c>
      <c r="K252" s="22">
        <f>H185</f>
        <v>2.6929803965212398</v>
      </c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</row>
    <row r="253" spans="1:65" ht="13.5" customHeight="1">
      <c r="A253" s="26" t="s">
        <v>423</v>
      </c>
      <c r="B253" s="25"/>
      <c r="C253" s="25"/>
      <c r="D253" s="25" t="s">
        <v>8</v>
      </c>
      <c r="E253" s="27"/>
      <c r="F253" s="60">
        <f>F63</f>
        <v>2</v>
      </c>
      <c r="G253" s="22">
        <f>F5</f>
        <v>3.3</v>
      </c>
      <c r="H253" s="22">
        <f>H192</f>
        <v>0.9370395929854161</v>
      </c>
      <c r="I253" s="22">
        <f>H193</f>
        <v>0</v>
      </c>
      <c r="J253" s="22">
        <f>F195</f>
        <v>-1.6</v>
      </c>
      <c r="K253" s="22">
        <f>H195</f>
        <v>2.65</v>
      </c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</row>
    <row r="254" spans="1:65" ht="13.5" customHeight="1">
      <c r="A254" s="26" t="s">
        <v>261</v>
      </c>
      <c r="B254" s="25"/>
      <c r="C254" s="25"/>
      <c r="D254" s="25" t="s">
        <v>9</v>
      </c>
      <c r="E254" s="27"/>
      <c r="F254" s="60">
        <f>F5-F13</f>
        <v>2.9499999999999997</v>
      </c>
      <c r="G254" s="22">
        <f>F5</f>
        <v>3.3</v>
      </c>
      <c r="H254" s="22">
        <f>H226</f>
        <v>-17.280000000000005</v>
      </c>
      <c r="I254" s="22">
        <f>H227</f>
        <v>0</v>
      </c>
      <c r="J254" s="59">
        <f>F229</f>
        <v>0.8</v>
      </c>
      <c r="K254" s="22">
        <f>H229</f>
        <v>3.033333333333333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</row>
    <row r="255" spans="1:65" ht="13.5" customHeight="1">
      <c r="A255" s="26" t="s">
        <v>262</v>
      </c>
      <c r="B255" s="25"/>
      <c r="C255" s="25"/>
      <c r="D255" s="25" t="s">
        <v>10</v>
      </c>
      <c r="E255" s="27"/>
      <c r="F255" s="60"/>
      <c r="G255" s="11"/>
      <c r="H255" s="22">
        <v>0</v>
      </c>
      <c r="I255" s="22">
        <f>H90</f>
        <v>36.8125</v>
      </c>
      <c r="J255" s="22">
        <f>F91</f>
        <v>-0.11754385964912273</v>
      </c>
      <c r="K255" s="22">
        <f>H91</f>
        <v>2.3579513299377477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</row>
    <row r="256" spans="1:65" ht="13.5" customHeight="1">
      <c r="A256" s="26" t="s">
        <v>142</v>
      </c>
      <c r="B256" s="25"/>
      <c r="C256" s="25"/>
      <c r="D256" s="25" t="s">
        <v>11</v>
      </c>
      <c r="E256" s="27"/>
      <c r="F256" s="60"/>
      <c r="G256" s="11"/>
      <c r="H256" s="22">
        <v>0</v>
      </c>
      <c r="I256" s="22">
        <f>H93</f>
        <v>85.62160158052117</v>
      </c>
      <c r="J256" s="22">
        <f>F94</f>
        <v>-0.8115935808761429</v>
      </c>
      <c r="K256" s="22">
        <f>H94</f>
        <v>1.4577113380701197</v>
      </c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</row>
    <row r="257" spans="1:65" ht="13.5" customHeight="1">
      <c r="A257" s="26" t="s">
        <v>143</v>
      </c>
      <c r="B257" s="25"/>
      <c r="C257" s="25"/>
      <c r="D257" s="25" t="s">
        <v>12</v>
      </c>
      <c r="E257" s="27"/>
      <c r="F257" s="60"/>
      <c r="G257" s="11"/>
      <c r="H257" s="22">
        <v>0</v>
      </c>
      <c r="I257" s="59">
        <f>L29*F10</f>
        <v>4.800000000000001</v>
      </c>
      <c r="J257" s="59">
        <f>-0.5*F10</f>
        <v>-0.8</v>
      </c>
      <c r="K257" s="59">
        <v>0</v>
      </c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</row>
    <row r="258" spans="1:65" ht="13.5" customHeight="1">
      <c r="A258" s="26" t="s">
        <v>364</v>
      </c>
      <c r="B258" s="25"/>
      <c r="C258" s="25"/>
      <c r="D258" s="25" t="s">
        <v>13</v>
      </c>
      <c r="E258" s="27"/>
      <c r="F258" s="60"/>
      <c r="G258" s="11"/>
      <c r="H258" s="22">
        <v>0</v>
      </c>
      <c r="I258" s="59">
        <f>L30*F10</f>
        <v>3.2</v>
      </c>
      <c r="J258" s="59">
        <f>-0.5*F10</f>
        <v>-0.8</v>
      </c>
      <c r="K258" s="59">
        <v>0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</row>
    <row r="259" spans="1:65" ht="13.5" customHeight="1">
      <c r="A259" s="26" t="s">
        <v>298</v>
      </c>
      <c r="B259" s="25"/>
      <c r="C259" s="25"/>
      <c r="D259" s="25" t="s">
        <v>14</v>
      </c>
      <c r="E259" s="27"/>
      <c r="F259" s="60"/>
      <c r="G259" s="11"/>
      <c r="H259" s="22">
        <v>0</v>
      </c>
      <c r="I259" s="59">
        <f>F28</f>
        <v>2.7</v>
      </c>
      <c r="J259" s="59">
        <f>F30</f>
        <v>0.12</v>
      </c>
      <c r="K259" s="59">
        <f>0</f>
        <v>0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</row>
    <row r="260" spans="1:65" ht="13.5" customHeight="1">
      <c r="A260" s="20" t="s">
        <v>311</v>
      </c>
      <c r="B260" s="15"/>
      <c r="C260" s="15"/>
      <c r="D260" s="15" t="s">
        <v>14</v>
      </c>
      <c r="E260" s="16"/>
      <c r="F260" s="60"/>
      <c r="G260" s="11"/>
      <c r="H260" s="22">
        <v>0</v>
      </c>
      <c r="I260" s="59">
        <f>F29</f>
        <v>1.8</v>
      </c>
      <c r="J260" s="59">
        <f>F30</f>
        <v>0.12</v>
      </c>
      <c r="K260" s="59">
        <v>0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</row>
    <row r="261" spans="1:65" ht="18" customHeight="1">
      <c r="A261" s="81" t="s">
        <v>280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</row>
    <row r="262" spans="1:65" ht="15" customHeight="1">
      <c r="A262" s="81" t="s">
        <v>456</v>
      </c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</row>
    <row r="263" spans="1:65" ht="13.5" customHeight="1">
      <c r="A263" s="17" t="s">
        <v>428</v>
      </c>
      <c r="B263" s="18"/>
      <c r="C263" s="18"/>
      <c r="D263" s="18"/>
      <c r="E263" s="14"/>
      <c r="F263" s="151" t="s">
        <v>31</v>
      </c>
      <c r="G263" s="51" t="s">
        <v>32</v>
      </c>
      <c r="H263" s="4" t="s">
        <v>30</v>
      </c>
      <c r="I263" s="51" t="s">
        <v>336</v>
      </c>
      <c r="J263" s="71" t="s">
        <v>236</v>
      </c>
      <c r="K263" s="71" t="s">
        <v>237</v>
      </c>
      <c r="L263" s="71" t="s">
        <v>358</v>
      </c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</row>
    <row r="264" spans="1:65" ht="13.5" customHeight="1">
      <c r="A264" s="20"/>
      <c r="B264" s="15"/>
      <c r="C264" s="15"/>
      <c r="D264" s="15"/>
      <c r="E264" s="16"/>
      <c r="F264" s="16"/>
      <c r="G264" s="20"/>
      <c r="H264" s="48" t="s">
        <v>246</v>
      </c>
      <c r="I264" s="52" t="s">
        <v>246</v>
      </c>
      <c r="J264" s="71" t="s">
        <v>357</v>
      </c>
      <c r="K264" s="71" t="s">
        <v>357</v>
      </c>
      <c r="L264" s="71" t="s">
        <v>247</v>
      </c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</row>
    <row r="265" spans="1:65" ht="13.5" customHeight="1">
      <c r="A265" s="26" t="s">
        <v>288</v>
      </c>
      <c r="B265" s="25"/>
      <c r="C265" s="25"/>
      <c r="D265" s="25" t="s">
        <v>515</v>
      </c>
      <c r="E265" s="27"/>
      <c r="F265" s="60">
        <f>-(F10*TAN(RADIANS(L28)))</f>
        <v>-0.16816677642508238</v>
      </c>
      <c r="G265" s="22">
        <f>F5</f>
        <v>3.3</v>
      </c>
      <c r="H265" s="22">
        <f>H128*L79</f>
        <v>16.542905513343655</v>
      </c>
      <c r="I265" s="22">
        <f>H129</f>
        <v>0</v>
      </c>
      <c r="J265" s="22">
        <f>F15</f>
        <v>2.4000000000000004</v>
      </c>
      <c r="K265" s="22">
        <f>F5-H131</f>
        <v>2.0708748490607056</v>
      </c>
      <c r="L265" s="22">
        <f>H265*K265</f>
        <v>34.25828695797106</v>
      </c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</row>
    <row r="266" spans="1:65" ht="13.5" customHeight="1">
      <c r="A266" s="26" t="s">
        <v>423</v>
      </c>
      <c r="B266" s="25"/>
      <c r="C266" s="25"/>
      <c r="D266" s="25" t="s">
        <v>219</v>
      </c>
      <c r="E266" s="27"/>
      <c r="F266" s="60">
        <f>-(F10*TAN(RADIANS(L28)))</f>
        <v>-0.16816677642508238</v>
      </c>
      <c r="G266" s="22">
        <f>F5</f>
        <v>3.3</v>
      </c>
      <c r="H266" s="22">
        <f>H138*L81</f>
        <v>1.6328874070609445</v>
      </c>
      <c r="I266" s="22">
        <v>0</v>
      </c>
      <c r="J266" s="22">
        <f>F15</f>
        <v>2.4000000000000004</v>
      </c>
      <c r="K266" s="22">
        <f>F5-H141</f>
        <v>2.3840833882125407</v>
      </c>
      <c r="L266" s="22">
        <f>H266*K266</f>
        <v>3.8929397419954466</v>
      </c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</row>
    <row r="267" spans="1:65" ht="13.5" customHeight="1">
      <c r="A267" s="26" t="s">
        <v>288</v>
      </c>
      <c r="B267" s="25"/>
      <c r="C267" s="25"/>
      <c r="D267" s="25" t="s">
        <v>515</v>
      </c>
      <c r="E267" s="27"/>
      <c r="F267" s="60">
        <f>F63</f>
        <v>2</v>
      </c>
      <c r="G267" s="22">
        <f>F5</f>
        <v>3.3</v>
      </c>
      <c r="H267" s="22">
        <f>H252*L79</f>
        <v>33.160169200079295</v>
      </c>
      <c r="I267" s="22">
        <f>I252*L79</f>
        <v>0</v>
      </c>
      <c r="J267" s="22">
        <f>F186</f>
        <v>2.4000000000000004</v>
      </c>
      <c r="K267" s="22">
        <f>H186</f>
        <v>0.60701960347876</v>
      </c>
      <c r="L267" s="22">
        <f>H267*K267</f>
        <v>20.128872759120725</v>
      </c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</row>
    <row r="268" spans="1:65" ht="13.5" customHeight="1">
      <c r="A268" s="26" t="s">
        <v>423</v>
      </c>
      <c r="B268" s="25"/>
      <c r="C268" s="25"/>
      <c r="D268" s="25" t="s">
        <v>219</v>
      </c>
      <c r="E268" s="27"/>
      <c r="F268" s="60">
        <f>F63</f>
        <v>2</v>
      </c>
      <c r="G268" s="22">
        <f>F5</f>
        <v>3.3</v>
      </c>
      <c r="H268" s="22">
        <f>H253*L81</f>
        <v>1.4055593894781242</v>
      </c>
      <c r="I268" s="22">
        <f>I253*L81</f>
        <v>0</v>
      </c>
      <c r="J268" s="22">
        <f>F15</f>
        <v>2.4000000000000004</v>
      </c>
      <c r="K268" s="22">
        <f>H196</f>
        <v>0.6499999999999999</v>
      </c>
      <c r="L268" s="22">
        <f>H268*K268</f>
        <v>0.9136136031607806</v>
      </c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</row>
    <row r="269" spans="1:65" ht="13.5" customHeight="1">
      <c r="A269" s="26" t="s">
        <v>262</v>
      </c>
      <c r="B269" s="25"/>
      <c r="C269" s="25"/>
      <c r="D269" s="25" t="s">
        <v>180</v>
      </c>
      <c r="E269" s="27"/>
      <c r="F269" s="60"/>
      <c r="G269" s="11"/>
      <c r="H269" s="22">
        <v>0</v>
      </c>
      <c r="I269" s="22">
        <f>H90</f>
        <v>36.8125</v>
      </c>
      <c r="J269" s="22">
        <f>F92</f>
        <v>0.9175438596491228</v>
      </c>
      <c r="K269" s="22">
        <f>H92</f>
        <v>0.942048670062252</v>
      </c>
      <c r="L269" s="22">
        <f>-I269*J269</f>
        <v>-33.77708333333333</v>
      </c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</row>
    <row r="270" spans="1:65" ht="13.5" customHeight="1">
      <c r="A270" s="26" t="s">
        <v>142</v>
      </c>
      <c r="B270" s="25"/>
      <c r="C270" s="25"/>
      <c r="D270" s="25" t="s">
        <v>426</v>
      </c>
      <c r="E270" s="27"/>
      <c r="F270" s="60"/>
      <c r="G270" s="11"/>
      <c r="H270" s="22">
        <v>0</v>
      </c>
      <c r="I270" s="22">
        <f>H93</f>
        <v>85.62160158052117</v>
      </c>
      <c r="J270" s="22">
        <f>F9+F6+F7+ABS(F94)</f>
        <v>1.6115935808761428</v>
      </c>
      <c r="K270" s="22">
        <f>H95</f>
        <v>1.8422886619298802</v>
      </c>
      <c r="L270" s="22">
        <f>-I270*J270</f>
        <v>-137.98722349150253</v>
      </c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</row>
    <row r="271" spans="1:65" ht="13.5" customHeight="1">
      <c r="A271" s="26" t="s">
        <v>143</v>
      </c>
      <c r="B271" s="25"/>
      <c r="C271" s="25"/>
      <c r="D271" s="25" t="s">
        <v>393</v>
      </c>
      <c r="E271" s="27"/>
      <c r="F271" s="60"/>
      <c r="G271" s="11"/>
      <c r="H271" s="22">
        <v>0</v>
      </c>
      <c r="I271" s="59">
        <f>L29*F10</f>
        <v>4.800000000000001</v>
      </c>
      <c r="J271" s="59">
        <f>F9+F8+0.5*F10</f>
        <v>1.6</v>
      </c>
      <c r="K271" s="59">
        <f>F5</f>
        <v>3.3</v>
      </c>
      <c r="L271" s="59">
        <f>-I271*J271</f>
        <v>-7.6800000000000015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</row>
    <row r="272" spans="1:65" ht="13.5" customHeight="1">
      <c r="A272" s="26" t="s">
        <v>392</v>
      </c>
      <c r="B272" s="25"/>
      <c r="C272" s="25"/>
      <c r="D272" s="25" t="s">
        <v>394</v>
      </c>
      <c r="E272" s="27"/>
      <c r="F272" s="22"/>
      <c r="G272" s="11"/>
      <c r="H272" s="22">
        <v>0</v>
      </c>
      <c r="I272" s="59">
        <f>F28</f>
        <v>2.7</v>
      </c>
      <c r="J272" s="59">
        <f>F9+F8-F30</f>
        <v>0.68</v>
      </c>
      <c r="K272" s="59">
        <f>F5</f>
        <v>3.3</v>
      </c>
      <c r="L272" s="59">
        <f>-I272*J272</f>
        <v>-1.8360000000000003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</row>
    <row r="273" spans="1:65" ht="13.5" customHeight="1">
      <c r="A273" s="20"/>
      <c r="B273" s="15"/>
      <c r="C273" s="15"/>
      <c r="D273" s="15"/>
      <c r="E273" s="16"/>
      <c r="F273" s="6" t="s">
        <v>202</v>
      </c>
      <c r="G273" s="6"/>
      <c r="H273" s="7"/>
      <c r="I273" s="60">
        <f>SUM(I265:I272)</f>
        <v>129.93410158052117</v>
      </c>
      <c r="J273" s="11"/>
      <c r="K273" s="11"/>
      <c r="L273" s="23">
        <f>SUM(L265:L272)</f>
        <v>-122.08659376258785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</row>
    <row r="274" spans="1:65" ht="13.5" customHeight="1">
      <c r="A274" s="26" t="s">
        <v>407</v>
      </c>
      <c r="B274" s="25"/>
      <c r="C274" s="25"/>
      <c r="D274" s="27"/>
      <c r="E274" s="112" t="s">
        <v>256</v>
      </c>
      <c r="F274" s="67">
        <f>I273</f>
        <v>129.93410158052117</v>
      </c>
      <c r="G274" s="7" t="s">
        <v>337</v>
      </c>
      <c r="I274" s="338" t="s">
        <v>382</v>
      </c>
      <c r="J274" s="339"/>
      <c r="K274" s="339"/>
      <c r="L274" s="34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</row>
    <row r="275" spans="1:65" ht="13.5" customHeight="1">
      <c r="A275" s="26" t="s">
        <v>28</v>
      </c>
      <c r="B275" s="25"/>
      <c r="C275" s="25"/>
      <c r="D275" s="27"/>
      <c r="E275" s="65" t="s">
        <v>257</v>
      </c>
      <c r="F275" s="68">
        <f>L273</f>
        <v>-122.08659376258785</v>
      </c>
      <c r="G275" s="7" t="s">
        <v>167</v>
      </c>
      <c r="H275" s="25"/>
      <c r="I275" s="17"/>
      <c r="J275" s="18"/>
      <c r="K275" s="18"/>
      <c r="L275" s="14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</row>
    <row r="276" spans="1:65" ht="13.5" customHeight="1">
      <c r="A276" s="26" t="s">
        <v>449</v>
      </c>
      <c r="B276" s="25"/>
      <c r="C276" s="25"/>
      <c r="D276" s="27"/>
      <c r="E276" s="65" t="s">
        <v>338</v>
      </c>
      <c r="F276" s="68">
        <f>H265*K265+H266*K266+H267*K267+H268*K268+H269*K269+H270*K270+H271*K271+H272*K272+I265*(F15/2-J265)+I266*(F15/2-J266)+I267*(F15/2-J267)+I268*(F15/2-J268)+I269*(F15/2-J269)+I270*(F15/2-J270)+I271*(F15/2-J271)</f>
        <v>32.43032813403758</v>
      </c>
      <c r="G276" s="7" t="s">
        <v>167</v>
      </c>
      <c r="H276" s="25"/>
      <c r="I276" s="26"/>
      <c r="J276" s="25"/>
      <c r="K276" s="25"/>
      <c r="L276" s="27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</row>
    <row r="277" spans="1:65" ht="13.5" customHeight="1" thickBot="1">
      <c r="A277" s="26" t="s">
        <v>429</v>
      </c>
      <c r="B277" s="25"/>
      <c r="C277" s="25"/>
      <c r="D277" s="27"/>
      <c r="E277" s="65" t="s">
        <v>285</v>
      </c>
      <c r="F277" s="22">
        <f>F276/F274</f>
        <v>0.24959058276121804</v>
      </c>
      <c r="G277" s="28" t="str">
        <f>IF(F277&lt;H277,"&lt;","&gt;")</f>
        <v>&lt;</v>
      </c>
      <c r="H277" s="165">
        <f>F15/6</f>
        <v>0.4000000000000001</v>
      </c>
      <c r="I277" s="26"/>
      <c r="J277" s="25"/>
      <c r="K277" s="25"/>
      <c r="L277" s="2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</row>
    <row r="278" spans="1:65" ht="13.5" customHeight="1">
      <c r="A278" s="26" t="s">
        <v>372</v>
      </c>
      <c r="B278" s="25"/>
      <c r="C278" s="25"/>
      <c r="D278" s="27"/>
      <c r="E278" s="65" t="s">
        <v>240</v>
      </c>
      <c r="F278" s="67">
        <f>IF(F277&lt;H277,F274/F15*(1+6*F277/F15)/1000,IF(F277=H277,2*F274/F15,2*F274/(3*(F15/2-F277))/1000))</f>
        <v>0.08792080079817295</v>
      </c>
      <c r="G278" s="7" t="s">
        <v>339</v>
      </c>
      <c r="H278" s="188" t="s">
        <v>330</v>
      </c>
      <c r="I278" s="26"/>
      <c r="J278" s="25"/>
      <c r="K278" s="25"/>
      <c r="L278" s="27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</row>
    <row r="279" spans="1:65" ht="13.5" customHeight="1" thickBot="1">
      <c r="A279" s="26" t="s">
        <v>303</v>
      </c>
      <c r="B279" s="25"/>
      <c r="C279" s="25"/>
      <c r="D279" s="27"/>
      <c r="E279" s="65" t="s">
        <v>239</v>
      </c>
      <c r="F279" s="67">
        <f>IF(F277&lt;H277,F274/F15*(1-6*F277/F15)/1000,IF(F277=H277,0,F274/F15*(1-6*F274/F15)/1000))</f>
        <v>0.020357617185594673</v>
      </c>
      <c r="G279" s="7" t="s">
        <v>341</v>
      </c>
      <c r="H279" s="189">
        <f>IF(F277&lt;=H277,"",3*(F15/2-F277))</f>
      </c>
      <c r="I279" s="26"/>
      <c r="J279" s="25"/>
      <c r="K279" s="25"/>
      <c r="L279" s="27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</row>
    <row r="280" spans="1:65" ht="13.5" customHeight="1">
      <c r="A280" s="26" t="s">
        <v>204</v>
      </c>
      <c r="B280" s="25"/>
      <c r="C280" s="25"/>
      <c r="D280" s="27"/>
      <c r="E280" s="65" t="s">
        <v>203</v>
      </c>
      <c r="F280" s="67">
        <f>F15-ABS(2*F277)</f>
        <v>1.9008188344775643</v>
      </c>
      <c r="G280" s="7" t="s">
        <v>342</v>
      </c>
      <c r="H280" s="25"/>
      <c r="I280" s="26"/>
      <c r="J280" s="25"/>
      <c r="K280" s="25"/>
      <c r="L280" s="27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</row>
    <row r="281" spans="1:65" ht="13.5" customHeight="1">
      <c r="A281" s="26" t="s">
        <v>223</v>
      </c>
      <c r="B281" s="25"/>
      <c r="C281" s="25"/>
      <c r="D281" s="27"/>
      <c r="E281" s="70" t="s">
        <v>290</v>
      </c>
      <c r="F281" s="68">
        <f>F280*1000*L72/1</f>
        <v>380.1637668955129</v>
      </c>
      <c r="G281" s="7" t="s">
        <v>337</v>
      </c>
      <c r="H281" s="25"/>
      <c r="I281" s="20"/>
      <c r="J281" s="15"/>
      <c r="K281" s="15"/>
      <c r="L281" s="16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</row>
    <row r="282" spans="1:65" ht="19.5" customHeight="1">
      <c r="A282" s="94" t="s">
        <v>168</v>
      </c>
      <c r="B282" s="86"/>
      <c r="C282" s="86"/>
      <c r="D282" s="86"/>
      <c r="E282" s="108" t="str">
        <f>IF(F281&gt;F274,"ΦEPOYΣA IKANOTHTA EΔAΦOYΣ KAΛH  ( αφού Rd &gt; Vd)","***  AΛΛAΓH ΔIATOMHΣ  *** ( αφού Rd &lt; Vd) ")</f>
        <v>ΦEPOYΣA IKANOTHTA EΔAΦOYΣ KAΛH  ( αφού Rd &gt; Vd)</v>
      </c>
      <c r="F282" s="86"/>
      <c r="G282" s="86"/>
      <c r="H282" s="86"/>
      <c r="I282" s="190"/>
      <c r="J282" s="190"/>
      <c r="K282" s="190"/>
      <c r="L282" s="191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</row>
    <row r="283" spans="1:65" ht="24" customHeight="1">
      <c r="A283" s="81" t="s">
        <v>457</v>
      </c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</row>
    <row r="284" spans="1:65" ht="13.5" customHeight="1">
      <c r="A284" s="17" t="s">
        <v>428</v>
      </c>
      <c r="B284" s="18"/>
      <c r="C284" s="18"/>
      <c r="D284" s="18"/>
      <c r="E284" s="14"/>
      <c r="F284" s="151" t="s">
        <v>31</v>
      </c>
      <c r="G284" s="51" t="s">
        <v>32</v>
      </c>
      <c r="H284" s="4" t="s">
        <v>30</v>
      </c>
      <c r="I284" s="51" t="s">
        <v>336</v>
      </c>
      <c r="J284" s="71" t="s">
        <v>236</v>
      </c>
      <c r="K284" s="71" t="s">
        <v>237</v>
      </c>
      <c r="L284" s="71" t="s">
        <v>358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</row>
    <row r="285" spans="1:65" ht="13.5" customHeight="1">
      <c r="A285" s="26"/>
      <c r="B285" s="25"/>
      <c r="C285" s="25"/>
      <c r="D285" s="25"/>
      <c r="E285" s="27"/>
      <c r="F285" s="16"/>
      <c r="G285" s="20"/>
      <c r="H285" s="48" t="s">
        <v>246</v>
      </c>
      <c r="I285" s="52" t="s">
        <v>246</v>
      </c>
      <c r="J285" s="71" t="s">
        <v>357</v>
      </c>
      <c r="K285" s="71" t="s">
        <v>357</v>
      </c>
      <c r="L285" s="71" t="s">
        <v>247</v>
      </c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</row>
    <row r="286" spans="1:65" ht="13.5" customHeight="1">
      <c r="A286" s="17" t="s">
        <v>466</v>
      </c>
      <c r="B286" s="18"/>
      <c r="C286" s="18"/>
      <c r="D286" s="18" t="s">
        <v>515</v>
      </c>
      <c r="E286" s="14"/>
      <c r="F286" s="198">
        <f>-(F10*TAN(RADIANS(L28)))</f>
        <v>-0.16816677642508238</v>
      </c>
      <c r="G286" s="55">
        <f>F63</f>
        <v>2</v>
      </c>
      <c r="H286" s="22">
        <f>H128*L79</f>
        <v>16.542905513343655</v>
      </c>
      <c r="I286" s="22">
        <f>H129</f>
        <v>0</v>
      </c>
      <c r="J286" s="22">
        <f>F15</f>
        <v>2.4000000000000004</v>
      </c>
      <c r="K286" s="22">
        <f>F5-H131</f>
        <v>2.0708748490607056</v>
      </c>
      <c r="L286" s="22">
        <f>H286*K286-I286*J286</f>
        <v>34.25828695797106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</row>
    <row r="287" spans="1:65" ht="13.5" customHeight="1">
      <c r="A287" s="26" t="s">
        <v>423</v>
      </c>
      <c r="B287" s="25"/>
      <c r="C287" s="25"/>
      <c r="D287" s="25" t="s">
        <v>219</v>
      </c>
      <c r="E287" s="27"/>
      <c r="F287" s="198">
        <f>-(F10*TAN(RADIANS(L28)))</f>
        <v>-0.16816677642508238</v>
      </c>
      <c r="G287" s="55">
        <f>F63</f>
        <v>2</v>
      </c>
      <c r="H287" s="22">
        <f>H138*L81</f>
        <v>1.6328874070609445</v>
      </c>
      <c r="I287" s="22">
        <v>0</v>
      </c>
      <c r="J287" s="22">
        <f>F15</f>
        <v>2.4000000000000004</v>
      </c>
      <c r="K287" s="22">
        <f>F5-H141</f>
        <v>2.3840833882125407</v>
      </c>
      <c r="L287" s="22">
        <f aca="true" t="shared" si="1" ref="L287:L295">H287*K287-I287*J287</f>
        <v>3.8929397419954466</v>
      </c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</row>
    <row r="288" spans="1:65" ht="13.5" customHeight="1">
      <c r="A288" s="26" t="s">
        <v>466</v>
      </c>
      <c r="B288" s="25"/>
      <c r="C288" s="25"/>
      <c r="D288" s="25" t="s">
        <v>515</v>
      </c>
      <c r="E288" s="27"/>
      <c r="F288" s="198">
        <f>F63</f>
        <v>2</v>
      </c>
      <c r="G288" s="55">
        <f>F5</f>
        <v>3.3</v>
      </c>
      <c r="H288" s="22">
        <f>H252*L79</f>
        <v>33.160169200079295</v>
      </c>
      <c r="I288" s="22">
        <f>H183</f>
        <v>0</v>
      </c>
      <c r="J288" s="22">
        <f>F15</f>
        <v>2.4000000000000004</v>
      </c>
      <c r="K288" s="22">
        <f>H186</f>
        <v>0.60701960347876</v>
      </c>
      <c r="L288" s="22">
        <f t="shared" si="1"/>
        <v>20.128872759120725</v>
      </c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</row>
    <row r="289" spans="1:65" ht="13.5" customHeight="1">
      <c r="A289" s="26" t="s">
        <v>423</v>
      </c>
      <c r="B289" s="25"/>
      <c r="C289" s="25"/>
      <c r="D289" s="25" t="s">
        <v>219</v>
      </c>
      <c r="E289" s="27"/>
      <c r="F289" s="198">
        <f>F63</f>
        <v>2</v>
      </c>
      <c r="G289" s="55">
        <f>F5</f>
        <v>3.3</v>
      </c>
      <c r="H289" s="22">
        <f>H253*L81</f>
        <v>1.4055593894781242</v>
      </c>
      <c r="I289" s="22">
        <f>H193</f>
        <v>0</v>
      </c>
      <c r="J289" s="22">
        <f>F15</f>
        <v>2.4000000000000004</v>
      </c>
      <c r="K289" s="22">
        <f>H196</f>
        <v>0.6499999999999999</v>
      </c>
      <c r="L289" s="22">
        <f t="shared" si="1"/>
        <v>0.9136136031607806</v>
      </c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</row>
    <row r="290" spans="1:65" ht="13.5" customHeight="1">
      <c r="A290" s="26" t="s">
        <v>262</v>
      </c>
      <c r="B290" s="25"/>
      <c r="C290" s="25"/>
      <c r="D290" s="25" t="s">
        <v>16</v>
      </c>
      <c r="E290" s="27"/>
      <c r="F290" s="7"/>
      <c r="G290" s="11"/>
      <c r="H290" s="22">
        <v>0</v>
      </c>
      <c r="I290" s="22">
        <f>I255*L79</f>
        <v>49.696875000000006</v>
      </c>
      <c r="J290" s="22">
        <f>F92</f>
        <v>0.9175438596491228</v>
      </c>
      <c r="K290" s="22">
        <f>H92</f>
        <v>0.942048670062252</v>
      </c>
      <c r="L290" s="22">
        <f t="shared" si="1"/>
        <v>-45.5990625</v>
      </c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</row>
    <row r="291" spans="1:65" ht="13.5" customHeight="1">
      <c r="A291" s="26" t="s">
        <v>142</v>
      </c>
      <c r="B291" s="25"/>
      <c r="C291" s="25"/>
      <c r="D291" s="25" t="s">
        <v>17</v>
      </c>
      <c r="E291" s="27"/>
      <c r="F291" s="7"/>
      <c r="G291" s="11"/>
      <c r="H291" s="22">
        <v>0</v>
      </c>
      <c r="I291" s="22">
        <f>I256*L79</f>
        <v>115.5891621337036</v>
      </c>
      <c r="J291" s="22">
        <f>F9+F8-F94</f>
        <v>1.6115935808761428</v>
      </c>
      <c r="K291" s="22">
        <f>H95</f>
        <v>1.8422886619298802</v>
      </c>
      <c r="L291" s="22">
        <f t="shared" si="1"/>
        <v>-186.28275171352843</v>
      </c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</row>
    <row r="292" spans="1:65" ht="13.5" customHeight="1">
      <c r="A292" s="26" t="s">
        <v>143</v>
      </c>
      <c r="B292" s="25"/>
      <c r="C292" s="25"/>
      <c r="D292" s="25" t="s">
        <v>393</v>
      </c>
      <c r="E292" s="27"/>
      <c r="F292" s="7"/>
      <c r="G292" s="11"/>
      <c r="H292" s="22">
        <v>0</v>
      </c>
      <c r="I292" s="22">
        <f>L29*F10</f>
        <v>4.800000000000001</v>
      </c>
      <c r="J292" s="22">
        <f>F9+F8+0.5*F10</f>
        <v>1.6</v>
      </c>
      <c r="K292" s="22">
        <f>F5</f>
        <v>3.3</v>
      </c>
      <c r="L292" s="22">
        <f t="shared" si="1"/>
        <v>-7.6800000000000015</v>
      </c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</row>
    <row r="293" spans="1:65" ht="13.5" customHeight="1">
      <c r="A293" s="26" t="s">
        <v>364</v>
      </c>
      <c r="B293" s="25"/>
      <c r="C293" s="25"/>
      <c r="D293" s="25" t="s">
        <v>18</v>
      </c>
      <c r="E293" s="27"/>
      <c r="F293" s="7"/>
      <c r="G293" s="11"/>
      <c r="H293" s="22">
        <v>0</v>
      </c>
      <c r="I293" s="22">
        <f>I258*L81</f>
        <v>4.800000000000001</v>
      </c>
      <c r="J293" s="22">
        <f>F9+F8+0.5*F10</f>
        <v>1.6</v>
      </c>
      <c r="K293" s="22">
        <f>F5</f>
        <v>3.3</v>
      </c>
      <c r="L293" s="22">
        <f t="shared" si="1"/>
        <v>-7.6800000000000015</v>
      </c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</row>
    <row r="294" spans="1:65" ht="13.5" customHeight="1">
      <c r="A294" s="26" t="s">
        <v>298</v>
      </c>
      <c r="B294" s="25"/>
      <c r="C294" s="25"/>
      <c r="D294" s="25" t="s">
        <v>19</v>
      </c>
      <c r="E294" s="27"/>
      <c r="F294" s="7"/>
      <c r="G294" s="11"/>
      <c r="H294" s="22">
        <v>0</v>
      </c>
      <c r="I294" s="22">
        <f>F28*L79</f>
        <v>3.6450000000000005</v>
      </c>
      <c r="J294" s="22">
        <f>F9+F8-F30</f>
        <v>0.68</v>
      </c>
      <c r="K294" s="22">
        <f>F5</f>
        <v>3.3</v>
      </c>
      <c r="L294" s="22">
        <f t="shared" si="1"/>
        <v>-2.4786000000000006</v>
      </c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</row>
    <row r="295" spans="1:65" ht="13.5" customHeight="1">
      <c r="A295" s="26" t="s">
        <v>311</v>
      </c>
      <c r="B295" s="25"/>
      <c r="C295" s="25"/>
      <c r="D295" s="25" t="s">
        <v>20</v>
      </c>
      <c r="E295" s="27"/>
      <c r="F295" s="7"/>
      <c r="G295" s="11"/>
      <c r="H295" s="22">
        <v>0</v>
      </c>
      <c r="I295" s="22">
        <f>F29*L81</f>
        <v>2.7</v>
      </c>
      <c r="J295" s="22">
        <f>F9+F8-F30</f>
        <v>0.68</v>
      </c>
      <c r="K295" s="22">
        <f>F5</f>
        <v>3.3</v>
      </c>
      <c r="L295" s="22">
        <f t="shared" si="1"/>
        <v>-1.8360000000000003</v>
      </c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</row>
    <row r="296" spans="1:65" ht="13.5" customHeight="1">
      <c r="A296" s="20"/>
      <c r="B296" s="15"/>
      <c r="C296" s="15"/>
      <c r="D296" s="15"/>
      <c r="E296" s="16"/>
      <c r="F296" s="5" t="s">
        <v>202</v>
      </c>
      <c r="G296" s="7"/>
      <c r="H296" s="11"/>
      <c r="I296" s="22">
        <f>SUM(I286:I295)</f>
        <v>181.2310371337036</v>
      </c>
      <c r="J296" s="11"/>
      <c r="K296" s="11"/>
      <c r="L296" s="22">
        <f>SUM(L286:L295)</f>
        <v>-192.36270115128045</v>
      </c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</row>
    <row r="297" spans="1:65" ht="15" customHeight="1">
      <c r="A297" s="26" t="s">
        <v>407</v>
      </c>
      <c r="B297" s="25"/>
      <c r="C297" s="25"/>
      <c r="D297" s="27"/>
      <c r="E297" s="112" t="s">
        <v>256</v>
      </c>
      <c r="F297" s="67">
        <f>I296</f>
        <v>181.2310371337036</v>
      </c>
      <c r="G297" s="7" t="s">
        <v>337</v>
      </c>
      <c r="H297" s="18"/>
      <c r="I297" s="338" t="s">
        <v>382</v>
      </c>
      <c r="J297" s="339"/>
      <c r="K297" s="339"/>
      <c r="L297" s="34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</row>
    <row r="298" spans="1:65" ht="15" customHeight="1">
      <c r="A298" s="26" t="s">
        <v>28</v>
      </c>
      <c r="B298" s="25"/>
      <c r="C298" s="25"/>
      <c r="D298" s="27"/>
      <c r="E298" s="65" t="s">
        <v>257</v>
      </c>
      <c r="F298" s="68">
        <f>L296</f>
        <v>-192.36270115128045</v>
      </c>
      <c r="G298" s="7" t="s">
        <v>167</v>
      </c>
      <c r="H298" s="25"/>
      <c r="I298" s="17"/>
      <c r="J298" s="18"/>
      <c r="K298" s="18"/>
      <c r="L298" s="14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</row>
    <row r="299" spans="1:65" ht="15" customHeight="1">
      <c r="A299" s="26" t="s">
        <v>449</v>
      </c>
      <c r="B299" s="25"/>
      <c r="C299" s="25"/>
      <c r="D299" s="27"/>
      <c r="E299" s="65" t="s">
        <v>338</v>
      </c>
      <c r="F299" s="67">
        <f>H286*K286+H287*K287+H288*K288+H289*K289+H290*K290+H291*K291+H292*K292+H293*K293+H294*K294+H295*K295+I286*(F15/2-J286)+I287*(F15/2-J287)+I288*(F15/2-J288)+I289*(F15/2-J289)+I290*(F15/2-J290)+I291*(F15/2-J291)+I292*(F15/2-J292)+I293*(F15/2-J293)+I294*(F15/2-J294)+I295*(F15/2-J295)</f>
        <v>25.114543409163932</v>
      </c>
      <c r="G299" s="7" t="s">
        <v>167</v>
      </c>
      <c r="H299" s="25"/>
      <c r="I299" s="26"/>
      <c r="J299" s="25"/>
      <c r="K299" s="25"/>
      <c r="L299" s="27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</row>
    <row r="300" spans="1:65" ht="15" customHeight="1" thickBot="1">
      <c r="A300" s="26" t="s">
        <v>429</v>
      </c>
      <c r="B300" s="25"/>
      <c r="C300" s="25"/>
      <c r="D300" s="27"/>
      <c r="E300" s="65" t="s">
        <v>285</v>
      </c>
      <c r="F300" s="22">
        <f>F299/F297</f>
        <v>0.1385774964728344</v>
      </c>
      <c r="G300" s="120" t="str">
        <f>IF(F300&lt;H300,"&lt;","&gt;")</f>
        <v>&lt;</v>
      </c>
      <c r="H300" s="165">
        <f>F15/6</f>
        <v>0.4000000000000001</v>
      </c>
      <c r="I300" s="26"/>
      <c r="J300" s="25"/>
      <c r="K300" s="25"/>
      <c r="L300" s="27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</row>
    <row r="301" spans="1:65" ht="15" customHeight="1">
      <c r="A301" s="26" t="s">
        <v>372</v>
      </c>
      <c r="B301" s="25"/>
      <c r="C301" s="25"/>
      <c r="D301" s="27"/>
      <c r="E301" s="65" t="s">
        <v>240</v>
      </c>
      <c r="F301" s="67">
        <f>IF(F300&lt;H300,F297/F15*(1+6*F300/F15)/1000,IF(F300=H300,2*F297/F15,2*F297/(3*(F15/2-F300))/1000))</f>
        <v>0.10167391485692225</v>
      </c>
      <c r="G301" s="7" t="s">
        <v>339</v>
      </c>
      <c r="H301" s="188" t="s">
        <v>330</v>
      </c>
      <c r="I301" s="26"/>
      <c r="J301" s="25"/>
      <c r="K301" s="25"/>
      <c r="L301" s="27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</row>
    <row r="302" spans="1:65" ht="15" customHeight="1" thickBot="1">
      <c r="A302" s="26" t="s">
        <v>303</v>
      </c>
      <c r="B302" s="25"/>
      <c r="C302" s="25"/>
      <c r="D302" s="27"/>
      <c r="E302" s="65" t="s">
        <v>239</v>
      </c>
      <c r="F302" s="67">
        <f>IF(F300&lt;H300,F297/F15*(1-6*F300/F15)/1000,IF(F300=H300,0,F297/F15*(1-6*F300/F15)/1000))</f>
        <v>0.04935194942116407</v>
      </c>
      <c r="G302" s="7" t="s">
        <v>341</v>
      </c>
      <c r="H302" s="189">
        <f>IF(F300&lt;=H300,"",3*(F15/2-F300))</f>
      </c>
      <c r="I302" s="26"/>
      <c r="J302" s="25"/>
      <c r="K302" s="25"/>
      <c r="L302" s="27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</row>
    <row r="303" spans="1:65" ht="15" customHeight="1">
      <c r="A303" s="26" t="s">
        <v>204</v>
      </c>
      <c r="B303" s="25"/>
      <c r="C303" s="25"/>
      <c r="D303" s="27"/>
      <c r="E303" s="65" t="s">
        <v>203</v>
      </c>
      <c r="F303" s="67">
        <f>F15-ABS(2*F300)</f>
        <v>2.1228450070543317</v>
      </c>
      <c r="G303" s="7" t="s">
        <v>342</v>
      </c>
      <c r="H303" s="25"/>
      <c r="I303" s="26"/>
      <c r="J303" s="25"/>
      <c r="K303" s="25"/>
      <c r="L303" s="27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</row>
    <row r="304" spans="1:65" ht="15" customHeight="1">
      <c r="A304" s="20" t="s">
        <v>289</v>
      </c>
      <c r="B304" s="15"/>
      <c r="C304" s="15"/>
      <c r="D304" s="16"/>
      <c r="E304" s="65" t="s">
        <v>290</v>
      </c>
      <c r="F304" s="68">
        <f>F303*1000*L72</f>
        <v>424.56900141086635</v>
      </c>
      <c r="G304" s="7" t="s">
        <v>337</v>
      </c>
      <c r="H304" s="15"/>
      <c r="I304" s="20"/>
      <c r="J304" s="15"/>
      <c r="K304" s="15"/>
      <c r="L304" s="16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</row>
    <row r="305" spans="1:65" ht="19.5" customHeight="1">
      <c r="A305" s="94" t="s">
        <v>168</v>
      </c>
      <c r="B305" s="86"/>
      <c r="C305" s="86"/>
      <c r="D305" s="86"/>
      <c r="E305" s="108" t="str">
        <f>IF(F304&gt;F297,"ΦEPOYΣA IKANOTHTA EΔAΦOYΣ KAΛH  ( αφού  Rd &gt; Vd )","***  AΛΛAΓH ΔIATOMHΣ  *** ( αφού  Rd &lt; Vd ) ")</f>
        <v>ΦEPOYΣA IKANOTHTA EΔAΦOYΣ KAΛH  ( αφού  Rd &gt; Vd )</v>
      </c>
      <c r="F305" s="86"/>
      <c r="G305" s="86"/>
      <c r="H305" s="86"/>
      <c r="I305" s="190"/>
      <c r="J305" s="190"/>
      <c r="K305" s="190"/>
      <c r="L305" s="191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</row>
    <row r="306" spans="1:65" s="177" customFormat="1" ht="15" customHeight="1">
      <c r="A306" s="172"/>
      <c r="B306" s="175"/>
      <c r="C306" s="175"/>
      <c r="D306" s="175"/>
      <c r="E306" s="300"/>
      <c r="F306" s="175"/>
      <c r="G306" s="175"/>
      <c r="H306" s="175"/>
      <c r="I306" s="175"/>
      <c r="J306" s="175"/>
      <c r="K306" s="175"/>
      <c r="L306" s="181"/>
      <c r="M306" s="301"/>
      <c r="N306" s="301"/>
      <c r="O306" s="301"/>
      <c r="P306" s="301"/>
      <c r="Q306" s="301"/>
      <c r="R306" s="301"/>
      <c r="S306" s="301"/>
      <c r="T306" s="301"/>
      <c r="U306" s="301"/>
      <c r="V306" s="301"/>
      <c r="W306" s="301"/>
      <c r="X306" s="301"/>
      <c r="Y306" s="301"/>
      <c r="Z306" s="301"/>
      <c r="AA306" s="301"/>
      <c r="AB306" s="301"/>
      <c r="AC306" s="301"/>
      <c r="AD306" s="301"/>
      <c r="AE306" s="301"/>
      <c r="AF306" s="301"/>
      <c r="AG306" s="301"/>
      <c r="AH306" s="301"/>
      <c r="AI306" s="301"/>
      <c r="AJ306" s="301"/>
      <c r="AK306" s="301"/>
      <c r="AL306" s="301"/>
      <c r="AM306" s="301"/>
      <c r="AN306" s="301"/>
      <c r="AO306" s="301"/>
      <c r="AP306" s="301"/>
      <c r="AQ306" s="301"/>
      <c r="AR306" s="301"/>
      <c r="AS306" s="301"/>
      <c r="AT306" s="301"/>
      <c r="AU306" s="301"/>
      <c r="AV306" s="301"/>
      <c r="AW306" s="301"/>
      <c r="AX306" s="301"/>
      <c r="AY306" s="301"/>
      <c r="AZ306" s="301"/>
      <c r="BA306" s="301"/>
      <c r="BB306" s="301"/>
      <c r="BC306" s="301"/>
      <c r="BD306" s="301"/>
      <c r="BE306" s="301"/>
      <c r="BF306" s="301"/>
      <c r="BG306" s="301"/>
      <c r="BH306" s="301"/>
      <c r="BI306" s="301"/>
      <c r="BJ306" s="301"/>
      <c r="BK306" s="301"/>
      <c r="BL306" s="301"/>
      <c r="BM306" s="301"/>
    </row>
    <row r="307" spans="1:65" ht="24" customHeight="1">
      <c r="A307" s="81" t="s">
        <v>458</v>
      </c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</row>
    <row r="308" spans="1:65" ht="13.5" customHeight="1">
      <c r="A308" s="17" t="s">
        <v>164</v>
      </c>
      <c r="B308" s="18"/>
      <c r="C308" s="18"/>
      <c r="D308" s="18"/>
      <c r="E308" s="50" t="s">
        <v>241</v>
      </c>
      <c r="F308" s="63">
        <f>F8+F9</f>
        <v>0.8</v>
      </c>
      <c r="G308" s="50" t="s">
        <v>122</v>
      </c>
      <c r="H308" s="63">
        <f>F5</f>
        <v>3.3</v>
      </c>
      <c r="I308" s="17"/>
      <c r="J308" s="18"/>
      <c r="K308" s="18"/>
      <c r="L308" s="14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</row>
    <row r="309" spans="1:65" ht="13.5" customHeight="1">
      <c r="A309" s="20"/>
      <c r="B309" s="15"/>
      <c r="C309" s="15"/>
      <c r="D309" s="15"/>
      <c r="E309" s="50" t="s">
        <v>165</v>
      </c>
      <c r="F309" s="63">
        <v>0</v>
      </c>
      <c r="G309" s="50" t="s">
        <v>166</v>
      </c>
      <c r="H309" s="63">
        <v>0</v>
      </c>
      <c r="I309" s="20"/>
      <c r="J309" s="15"/>
      <c r="K309" s="15"/>
      <c r="L309" s="16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</row>
    <row r="310" spans="1:65" ht="13.5" customHeight="1">
      <c r="A310" s="17" t="s">
        <v>428</v>
      </c>
      <c r="B310" s="18"/>
      <c r="C310" s="18"/>
      <c r="D310" s="14"/>
      <c r="E310" s="53" t="s">
        <v>31</v>
      </c>
      <c r="F310" s="54" t="s">
        <v>32</v>
      </c>
      <c r="G310" s="53" t="s">
        <v>255</v>
      </c>
      <c r="H310" s="54" t="s">
        <v>59</v>
      </c>
      <c r="I310" s="54" t="s">
        <v>236</v>
      </c>
      <c r="J310" s="53" t="s">
        <v>237</v>
      </c>
      <c r="K310" s="53" t="s">
        <v>182</v>
      </c>
      <c r="L310" s="53" t="s">
        <v>304</v>
      </c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</row>
    <row r="311" spans="1:65" ht="19.5" customHeight="1">
      <c r="A311" s="20"/>
      <c r="B311" s="15"/>
      <c r="C311" s="15"/>
      <c r="D311" s="16"/>
      <c r="E311" s="48"/>
      <c r="F311" s="20"/>
      <c r="G311" s="21" t="s">
        <v>246</v>
      </c>
      <c r="H311" s="52" t="s">
        <v>246</v>
      </c>
      <c r="I311" s="52" t="s">
        <v>357</v>
      </c>
      <c r="J311" s="21" t="s">
        <v>357</v>
      </c>
      <c r="K311" s="21" t="s">
        <v>247</v>
      </c>
      <c r="L311" s="21" t="s">
        <v>247</v>
      </c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</row>
    <row r="312" spans="1:65" ht="13.5" customHeight="1">
      <c r="A312" s="26" t="s">
        <v>49</v>
      </c>
      <c r="B312" s="25"/>
      <c r="D312" s="25" t="s">
        <v>515</v>
      </c>
      <c r="E312" s="13">
        <f>-(F10*TAN(RADIANS(L28)))</f>
        <v>-0.16816677642508238</v>
      </c>
      <c r="F312" s="13">
        <f>F63</f>
        <v>2</v>
      </c>
      <c r="G312" s="22">
        <f>H128*L79</f>
        <v>16.542905513343655</v>
      </c>
      <c r="H312" s="22">
        <f>H129</f>
        <v>0</v>
      </c>
      <c r="I312" s="22">
        <f>F15</f>
        <v>2.4000000000000004</v>
      </c>
      <c r="J312" s="22">
        <f>F5-H131</f>
        <v>2.0708748490607056</v>
      </c>
      <c r="K312" s="22">
        <f>G312*J312</f>
        <v>34.25828695797106</v>
      </c>
      <c r="L312" s="22">
        <f>H312*I312</f>
        <v>0</v>
      </c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</row>
    <row r="313" spans="1:65" ht="13.5" customHeight="1">
      <c r="A313" s="26" t="s">
        <v>423</v>
      </c>
      <c r="B313" s="25"/>
      <c r="D313" s="25" t="s">
        <v>219</v>
      </c>
      <c r="E313" s="13">
        <f>-(F10*TAN(RADIANS(L28)))</f>
        <v>-0.16816677642508238</v>
      </c>
      <c r="F313" s="13">
        <f>F63</f>
        <v>2</v>
      </c>
      <c r="G313" s="22">
        <f>H138*L81</f>
        <v>1.6328874070609445</v>
      </c>
      <c r="H313" s="22">
        <v>0</v>
      </c>
      <c r="I313" s="22">
        <f>J266</f>
        <v>2.4000000000000004</v>
      </c>
      <c r="J313" s="22">
        <f>K266</f>
        <v>2.3840833882125407</v>
      </c>
      <c r="K313" s="22">
        <f aca="true" t="shared" si="2" ref="K313:K319">G313*J313</f>
        <v>3.8929397419954466</v>
      </c>
      <c r="L313" s="22">
        <f aca="true" t="shared" si="3" ref="L313:L319">H313*I313</f>
        <v>0</v>
      </c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</row>
    <row r="314" spans="1:65" ht="13.5" customHeight="1">
      <c r="A314" s="26" t="s">
        <v>49</v>
      </c>
      <c r="B314" s="25"/>
      <c r="D314" s="25" t="s">
        <v>515</v>
      </c>
      <c r="E314" s="13">
        <f>F63</f>
        <v>2</v>
      </c>
      <c r="F314" s="13">
        <f>F5</f>
        <v>3.3</v>
      </c>
      <c r="G314" s="22">
        <f>H252*L79</f>
        <v>33.160169200079295</v>
      </c>
      <c r="H314" s="22">
        <f>H183</f>
        <v>0</v>
      </c>
      <c r="I314" s="22">
        <f>F15</f>
        <v>2.4000000000000004</v>
      </c>
      <c r="J314" s="22">
        <f>H186</f>
        <v>0.60701960347876</v>
      </c>
      <c r="K314" s="22">
        <f t="shared" si="2"/>
        <v>20.128872759120725</v>
      </c>
      <c r="L314" s="22">
        <f t="shared" si="3"/>
        <v>0</v>
      </c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</row>
    <row r="315" spans="1:65" ht="13.5" customHeight="1">
      <c r="A315" s="26" t="s">
        <v>423</v>
      </c>
      <c r="B315" s="25"/>
      <c r="D315" s="25" t="s">
        <v>219</v>
      </c>
      <c r="E315" s="13">
        <f>F63</f>
        <v>2</v>
      </c>
      <c r="F315" s="13">
        <f>F5</f>
        <v>3.3</v>
      </c>
      <c r="G315" s="22">
        <f>H253*L81</f>
        <v>1.4055593894781242</v>
      </c>
      <c r="H315" s="22">
        <f>H193</f>
        <v>0</v>
      </c>
      <c r="I315" s="22">
        <f>F15</f>
        <v>2.4000000000000004</v>
      </c>
      <c r="J315" s="22">
        <f>H196</f>
        <v>0.6499999999999999</v>
      </c>
      <c r="K315" s="22">
        <f t="shared" si="2"/>
        <v>0.9136136031607806</v>
      </c>
      <c r="L315" s="22">
        <f t="shared" si="3"/>
        <v>0</v>
      </c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</row>
    <row r="316" spans="1:65" ht="13.5" customHeight="1">
      <c r="A316" s="26" t="s">
        <v>262</v>
      </c>
      <c r="B316" s="25"/>
      <c r="D316" s="25" t="s">
        <v>180</v>
      </c>
      <c r="E316" s="11"/>
      <c r="F316" s="11"/>
      <c r="G316" s="22">
        <v>0</v>
      </c>
      <c r="H316" s="22">
        <f>H90</f>
        <v>36.8125</v>
      </c>
      <c r="I316" s="22">
        <f>F92</f>
        <v>0.9175438596491228</v>
      </c>
      <c r="J316" s="22">
        <f>H92</f>
        <v>0.942048670062252</v>
      </c>
      <c r="K316" s="22">
        <f t="shared" si="2"/>
        <v>0</v>
      </c>
      <c r="L316" s="22">
        <f t="shared" si="3"/>
        <v>33.77708333333333</v>
      </c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</row>
    <row r="317" spans="1:65" ht="13.5" customHeight="1">
      <c r="A317" s="26" t="s">
        <v>142</v>
      </c>
      <c r="B317" s="25"/>
      <c r="D317" s="25" t="s">
        <v>181</v>
      </c>
      <c r="E317" s="11"/>
      <c r="F317" s="11"/>
      <c r="G317" s="22">
        <v>0</v>
      </c>
      <c r="H317" s="22">
        <f>H93</f>
        <v>85.62160158052117</v>
      </c>
      <c r="I317" s="22">
        <f>F9+F6+F7+ABS(F94)</f>
        <v>1.6115935808761428</v>
      </c>
      <c r="J317" s="22">
        <f>F5-H94</f>
        <v>1.8422886619298802</v>
      </c>
      <c r="K317" s="22">
        <f t="shared" si="2"/>
        <v>0</v>
      </c>
      <c r="L317" s="22">
        <f t="shared" si="3"/>
        <v>137.98722349150253</v>
      </c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</row>
    <row r="318" spans="1:65" ht="13.5" customHeight="1">
      <c r="A318" s="26" t="s">
        <v>143</v>
      </c>
      <c r="B318" s="25"/>
      <c r="D318" s="25" t="s">
        <v>147</v>
      </c>
      <c r="E318" s="11"/>
      <c r="F318" s="11"/>
      <c r="G318" s="22">
        <v>0</v>
      </c>
      <c r="H318" s="22">
        <f>L29*F10</f>
        <v>4.800000000000001</v>
      </c>
      <c r="I318" s="22">
        <f>F9+F8+0.5*F10</f>
        <v>1.6</v>
      </c>
      <c r="J318" s="22">
        <f>F5</f>
        <v>3.3</v>
      </c>
      <c r="K318" s="22">
        <f t="shared" si="2"/>
        <v>0</v>
      </c>
      <c r="L318" s="22">
        <f t="shared" si="3"/>
        <v>7.6800000000000015</v>
      </c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</row>
    <row r="319" spans="1:65" ht="13.5" customHeight="1">
      <c r="A319" s="26" t="s">
        <v>21</v>
      </c>
      <c r="B319" s="25"/>
      <c r="D319" s="25" t="s">
        <v>394</v>
      </c>
      <c r="E319" s="11"/>
      <c r="F319" s="11"/>
      <c r="G319" s="22">
        <v>0</v>
      </c>
      <c r="H319" s="22">
        <f>F28</f>
        <v>2.7</v>
      </c>
      <c r="I319" s="22">
        <f>F9+F8-F30</f>
        <v>0.68</v>
      </c>
      <c r="J319" s="22">
        <f>F5</f>
        <v>3.3</v>
      </c>
      <c r="K319" s="22">
        <f t="shared" si="2"/>
        <v>0</v>
      </c>
      <c r="L319" s="22">
        <f t="shared" si="3"/>
        <v>1.8360000000000003</v>
      </c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</row>
    <row r="320" spans="1:65" ht="13.5" customHeight="1">
      <c r="A320" s="20"/>
      <c r="B320" s="15"/>
      <c r="C320" s="15"/>
      <c r="D320" s="16"/>
      <c r="E320" s="6" t="s">
        <v>202</v>
      </c>
      <c r="F320" s="6"/>
      <c r="G320" s="66"/>
      <c r="H320" s="18"/>
      <c r="I320" s="92"/>
      <c r="J320" s="91"/>
      <c r="K320" s="61">
        <f>SUM(K312:K319)</f>
        <v>59.193713062248015</v>
      </c>
      <c r="L320" s="61">
        <f>SUM(L312:L319)</f>
        <v>181.2803068248359</v>
      </c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</row>
    <row r="321" spans="1:65" ht="12.75" customHeight="1">
      <c r="A321" s="26" t="s">
        <v>87</v>
      </c>
      <c r="B321" s="25"/>
      <c r="C321" s="25"/>
      <c r="D321" s="27"/>
      <c r="E321" s="65" t="s">
        <v>232</v>
      </c>
      <c r="F321" s="114">
        <f>K320</f>
        <v>59.193713062248015</v>
      </c>
      <c r="G321" s="6" t="s">
        <v>167</v>
      </c>
      <c r="H321" s="17"/>
      <c r="I321" s="18"/>
      <c r="J321" s="18"/>
      <c r="K321" s="18"/>
      <c r="L321" s="14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</row>
    <row r="322" spans="1:65" ht="13.5" customHeight="1">
      <c r="A322" s="26" t="s">
        <v>292</v>
      </c>
      <c r="B322" s="25"/>
      <c r="C322" s="25"/>
      <c r="D322" s="27"/>
      <c r="E322" s="70" t="s">
        <v>269</v>
      </c>
      <c r="F322" s="195">
        <f>L320</f>
        <v>181.2803068248359</v>
      </c>
      <c r="G322" s="18" t="s">
        <v>167</v>
      </c>
      <c r="H322" s="26"/>
      <c r="I322" s="25"/>
      <c r="J322" s="25"/>
      <c r="K322" s="25"/>
      <c r="L322" s="27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</row>
    <row r="323" spans="1:65" ht="19.5" customHeight="1">
      <c r="A323" s="94" t="s">
        <v>4</v>
      </c>
      <c r="B323" s="86"/>
      <c r="C323" s="86"/>
      <c r="D323" s="86"/>
      <c r="E323" s="107" t="str">
        <f>IF(F321&lt;=F322,"EΛEΓXOΣ ΣE ANATPOΠH  ENTAΞEI  ( αφού Msd &lt; Mrd )","***  AΛΛAΓH ΔIATOMHΣ  *** ( αφού Msd &gt; Mrd ) ")</f>
        <v>EΛEΓXOΣ ΣE ANATPOΠH  ENTAΞEI  ( αφού Msd &lt; Mrd )</v>
      </c>
      <c r="F323" s="86"/>
      <c r="G323" s="86"/>
      <c r="H323" s="86"/>
      <c r="I323" s="86"/>
      <c r="J323" s="86"/>
      <c r="K323" s="86"/>
      <c r="L323" s="102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</row>
    <row r="324" spans="1:65" ht="21.75" customHeight="1">
      <c r="A324" s="81" t="s">
        <v>459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</row>
    <row r="325" spans="1:65" ht="13.5" customHeight="1">
      <c r="A325" s="17" t="s">
        <v>428</v>
      </c>
      <c r="B325" s="18"/>
      <c r="C325" s="18"/>
      <c r="D325" s="14"/>
      <c r="E325" s="19" t="s">
        <v>31</v>
      </c>
      <c r="F325" s="19" t="s">
        <v>32</v>
      </c>
      <c r="G325" s="49" t="s">
        <v>293</v>
      </c>
      <c r="H325" s="19" t="s">
        <v>294</v>
      </c>
      <c r="I325" s="19" t="s">
        <v>59</v>
      </c>
      <c r="J325" s="25"/>
      <c r="K325" s="25"/>
      <c r="L325" s="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</row>
    <row r="326" spans="1:65" ht="12.75" customHeight="1">
      <c r="A326" s="26"/>
      <c r="B326" s="25"/>
      <c r="C326" s="25"/>
      <c r="D326" s="27"/>
      <c r="E326" s="48"/>
      <c r="F326" s="48"/>
      <c r="G326" s="69" t="s">
        <v>246</v>
      </c>
      <c r="H326" s="52" t="s">
        <v>246</v>
      </c>
      <c r="I326" s="21" t="s">
        <v>246</v>
      </c>
      <c r="J326" s="25"/>
      <c r="K326" s="25"/>
      <c r="L326" s="25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</row>
    <row r="327" spans="1:65" ht="13.5" customHeight="1">
      <c r="A327" s="17" t="s">
        <v>466</v>
      </c>
      <c r="B327" s="18"/>
      <c r="C327" s="18"/>
      <c r="D327" s="14" t="s">
        <v>515</v>
      </c>
      <c r="E327" s="64">
        <f>-(F10*TAN(RADIANS(L28)))</f>
        <v>-0.16816677642508238</v>
      </c>
      <c r="F327" s="13">
        <f>F63</f>
        <v>2</v>
      </c>
      <c r="G327" s="22">
        <f>H128*L79</f>
        <v>16.542905513343655</v>
      </c>
      <c r="H327" s="22">
        <v>0</v>
      </c>
      <c r="I327" s="22">
        <v>0</v>
      </c>
      <c r="J327" s="25"/>
      <c r="K327" s="25"/>
      <c r="L327" s="25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</row>
    <row r="328" spans="1:65" ht="13.5" customHeight="1">
      <c r="A328" s="26" t="s">
        <v>423</v>
      </c>
      <c r="B328" s="25"/>
      <c r="C328" s="25"/>
      <c r="D328" s="27" t="s">
        <v>219</v>
      </c>
      <c r="E328" s="64">
        <f>-(F10*TAN(RADIANS(L28)))</f>
        <v>-0.16816677642508238</v>
      </c>
      <c r="F328" s="13">
        <f>F63</f>
        <v>2</v>
      </c>
      <c r="G328" s="22">
        <f>H138*L81</f>
        <v>1.6328874070609445</v>
      </c>
      <c r="H328" s="22">
        <v>0</v>
      </c>
      <c r="I328" s="22">
        <v>0</v>
      </c>
      <c r="J328" s="25"/>
      <c r="K328" s="25"/>
      <c r="L328" s="25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</row>
    <row r="329" spans="1:65" ht="13.5" customHeight="1">
      <c r="A329" s="26" t="s">
        <v>466</v>
      </c>
      <c r="B329" s="25"/>
      <c r="C329" s="25"/>
      <c r="D329" s="27" t="s">
        <v>515</v>
      </c>
      <c r="E329" s="64">
        <f>F63</f>
        <v>2</v>
      </c>
      <c r="F329" s="13">
        <f>F5</f>
        <v>3.3</v>
      </c>
      <c r="G329" s="22">
        <f>H252*L79</f>
        <v>33.160169200079295</v>
      </c>
      <c r="H329" s="22">
        <v>0</v>
      </c>
      <c r="I329" s="22">
        <v>0</v>
      </c>
      <c r="J329" s="25"/>
      <c r="K329" s="25"/>
      <c r="L329" s="25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</row>
    <row r="330" spans="1:65" ht="13.5" customHeight="1">
      <c r="A330" s="26" t="s">
        <v>423</v>
      </c>
      <c r="B330" s="25"/>
      <c r="C330" s="25"/>
      <c r="D330" s="27" t="s">
        <v>219</v>
      </c>
      <c r="E330" s="64">
        <f>F63</f>
        <v>2</v>
      </c>
      <c r="F330" s="13">
        <f>F5</f>
        <v>3.3</v>
      </c>
      <c r="G330" s="22">
        <f>H253*L81</f>
        <v>1.4055593894781242</v>
      </c>
      <c r="H330" s="22">
        <v>0</v>
      </c>
      <c r="I330" s="22">
        <v>0</v>
      </c>
      <c r="J330" s="25"/>
      <c r="K330" s="25"/>
      <c r="L330" s="25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</row>
    <row r="331" spans="1:65" ht="13.5" customHeight="1">
      <c r="A331" s="26" t="s">
        <v>261</v>
      </c>
      <c r="B331" s="25"/>
      <c r="C331" s="25"/>
      <c r="D331" s="27" t="s">
        <v>69</v>
      </c>
      <c r="E331" s="64">
        <f>F5-L63</f>
        <v>2.5</v>
      </c>
      <c r="F331" s="13">
        <f>F5</f>
        <v>3.3</v>
      </c>
      <c r="G331" s="22">
        <v>0</v>
      </c>
      <c r="H331" s="22">
        <f>-H224</f>
        <v>17.280000000000005</v>
      </c>
      <c r="I331" s="22">
        <v>0</v>
      </c>
      <c r="J331" s="25"/>
      <c r="K331" s="25"/>
      <c r="L331" s="25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</row>
    <row r="332" spans="1:65" ht="13.5" customHeight="1">
      <c r="A332" s="26" t="s">
        <v>262</v>
      </c>
      <c r="B332" s="25"/>
      <c r="C332" s="25"/>
      <c r="D332" s="27" t="s">
        <v>180</v>
      </c>
      <c r="E332" s="7"/>
      <c r="F332" s="11"/>
      <c r="G332" s="22">
        <v>0</v>
      </c>
      <c r="H332" s="22">
        <v>0</v>
      </c>
      <c r="I332" s="22">
        <f>H89*F25</f>
        <v>36.8125</v>
      </c>
      <c r="J332" s="25"/>
      <c r="K332" s="25"/>
      <c r="L332" s="25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</row>
    <row r="333" spans="1:65" ht="13.5" customHeight="1">
      <c r="A333" s="26" t="s">
        <v>142</v>
      </c>
      <c r="B333" s="25"/>
      <c r="C333" s="25"/>
      <c r="D333" s="27" t="s">
        <v>426</v>
      </c>
      <c r="E333" s="7"/>
      <c r="F333" s="11"/>
      <c r="G333" s="22">
        <v>0</v>
      </c>
      <c r="H333" s="22">
        <v>0</v>
      </c>
      <c r="I333" s="22">
        <f>H93</f>
        <v>85.62160158052117</v>
      </c>
      <c r="J333" s="25"/>
      <c r="K333" s="25"/>
      <c r="L333" s="25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</row>
    <row r="334" spans="1:65" ht="13.5" customHeight="1">
      <c r="A334" s="26" t="s">
        <v>143</v>
      </c>
      <c r="B334" s="25"/>
      <c r="C334" s="25"/>
      <c r="D334" s="27" t="s">
        <v>36</v>
      </c>
      <c r="E334" s="7"/>
      <c r="F334" s="11"/>
      <c r="G334" s="22">
        <v>0</v>
      </c>
      <c r="H334" s="22">
        <v>0</v>
      </c>
      <c r="I334" s="22">
        <f>L29*F10</f>
        <v>4.800000000000001</v>
      </c>
      <c r="J334" s="25"/>
      <c r="K334" s="25"/>
      <c r="L334" s="25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</row>
    <row r="335" spans="1:65" ht="13.5" customHeight="1">
      <c r="A335" s="26" t="s">
        <v>22</v>
      </c>
      <c r="B335" s="25"/>
      <c r="C335" s="25"/>
      <c r="D335" s="27"/>
      <c r="E335" s="6"/>
      <c r="F335" s="7"/>
      <c r="G335" s="22">
        <v>0</v>
      </c>
      <c r="H335" s="22">
        <v>0</v>
      </c>
      <c r="I335" s="22">
        <f>F28</f>
        <v>2.7</v>
      </c>
      <c r="J335" s="25"/>
      <c r="K335" s="25"/>
      <c r="L335" s="2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</row>
    <row r="336" spans="1:65" ht="13.5" customHeight="1">
      <c r="A336" s="20"/>
      <c r="B336" s="15"/>
      <c r="C336" s="15"/>
      <c r="D336" s="16"/>
      <c r="E336" s="6" t="s">
        <v>202</v>
      </c>
      <c r="F336" s="7"/>
      <c r="G336" s="22">
        <f>SUM(G327:G335)</f>
        <v>52.74152150996202</v>
      </c>
      <c r="H336" s="22">
        <f>SUM(H327:H335)</f>
        <v>17.280000000000005</v>
      </c>
      <c r="I336" s="22">
        <f>SUM(I327:I335)</f>
        <v>129.93410158052117</v>
      </c>
      <c r="J336" s="25"/>
      <c r="K336" s="25"/>
      <c r="L336" s="25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</row>
    <row r="337" spans="1:65" ht="13.5" customHeight="1">
      <c r="A337" s="26" t="s">
        <v>135</v>
      </c>
      <c r="B337" s="25"/>
      <c r="C337" s="25"/>
      <c r="D337" s="27"/>
      <c r="E337" s="57" t="s">
        <v>136</v>
      </c>
      <c r="F337" s="67">
        <f>I336*L74/1</f>
        <v>75.01748852442607</v>
      </c>
      <c r="G337" s="7" t="s">
        <v>137</v>
      </c>
      <c r="H337" s="25"/>
      <c r="I337" s="25"/>
      <c r="J337" s="25"/>
      <c r="K337" s="25"/>
      <c r="L337" s="25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</row>
    <row r="338" spans="1:65" ht="13.5" customHeight="1">
      <c r="A338" s="26" t="s">
        <v>88</v>
      </c>
      <c r="B338" s="25"/>
      <c r="C338" s="25"/>
      <c r="D338" s="27"/>
      <c r="E338" s="57" t="s">
        <v>136</v>
      </c>
      <c r="F338" s="67">
        <f>F15*(L75*1000)/1</f>
        <v>24.000000000000004</v>
      </c>
      <c r="G338" s="7" t="s">
        <v>137</v>
      </c>
      <c r="H338" s="25"/>
      <c r="I338" s="25"/>
      <c r="J338" s="25"/>
      <c r="K338" s="25"/>
      <c r="L338" s="25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</row>
    <row r="339" spans="1:65" ht="13.5" customHeight="1">
      <c r="A339" s="26" t="s">
        <v>295</v>
      </c>
      <c r="B339" s="25"/>
      <c r="C339" s="25"/>
      <c r="D339" s="27"/>
      <c r="E339" s="57" t="s">
        <v>138</v>
      </c>
      <c r="F339" s="67">
        <f>G336</f>
        <v>52.74152150996202</v>
      </c>
      <c r="G339" s="7" t="s">
        <v>137</v>
      </c>
      <c r="H339" s="25"/>
      <c r="I339" s="25"/>
      <c r="J339" s="25"/>
      <c r="K339" s="25"/>
      <c r="L339" s="25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</row>
    <row r="340" spans="1:65" ht="13.5" customHeight="1">
      <c r="A340" s="26" t="s">
        <v>296</v>
      </c>
      <c r="B340" s="25"/>
      <c r="C340" s="25"/>
      <c r="D340" s="27"/>
      <c r="E340" s="4" t="s">
        <v>139</v>
      </c>
      <c r="F340" s="99">
        <f>F337+ABS(H226)</f>
        <v>92.29748852442607</v>
      </c>
      <c r="G340" s="14" t="s">
        <v>137</v>
      </c>
      <c r="H340" s="25"/>
      <c r="I340" s="25"/>
      <c r="J340" s="25"/>
      <c r="K340" s="25"/>
      <c r="L340" s="25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</row>
    <row r="341" spans="1:65" ht="19.5" customHeight="1">
      <c r="A341" s="94" t="s">
        <v>114</v>
      </c>
      <c r="B341" s="86"/>
      <c r="C341" s="86"/>
      <c r="D341" s="86"/>
      <c r="E341" s="107" t="str">
        <f>IF(F339&lt;=F340,"EΛEΓXOΣ ΣE OΛIΣΘHΣH  ENTAΞEI  ( αφού Hd &lt; Sd+Epd )","***  AΛΛAΓH ΔIATOMHΣ  ***")</f>
        <v>EΛEΓXOΣ ΣE OΛIΣΘHΣH  ENTAΞEI  ( αφού Hd &lt; Sd+Epd )</v>
      </c>
      <c r="F341" s="86"/>
      <c r="G341" s="86"/>
      <c r="H341" s="86"/>
      <c r="I341" s="86"/>
      <c r="J341" s="86"/>
      <c r="K341" s="86"/>
      <c r="L341" s="85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</row>
    <row r="342" spans="1:65" ht="24.75" customHeight="1">
      <c r="A342" s="81" t="s">
        <v>104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</row>
    <row r="343" spans="1:65" ht="18" customHeight="1">
      <c r="A343" s="78" t="s">
        <v>297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</row>
    <row r="344" spans="1:65" ht="13.5" customHeight="1">
      <c r="A344" s="78" t="s">
        <v>356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</row>
    <row r="345" spans="1:65" ht="13.5" customHeight="1">
      <c r="A345" s="17" t="s">
        <v>428</v>
      </c>
      <c r="B345" s="18"/>
      <c r="C345" s="18"/>
      <c r="D345" s="18"/>
      <c r="E345" s="51" t="s">
        <v>31</v>
      </c>
      <c r="F345" s="51" t="s">
        <v>32</v>
      </c>
      <c r="G345" s="51" t="s">
        <v>255</v>
      </c>
      <c r="H345" s="51" t="s">
        <v>63</v>
      </c>
      <c r="I345" s="19" t="s">
        <v>70</v>
      </c>
      <c r="J345" s="19" t="s">
        <v>71</v>
      </c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</row>
    <row r="346" spans="1:65" ht="13.5" customHeight="1">
      <c r="A346" s="26"/>
      <c r="B346" s="25"/>
      <c r="C346" s="25"/>
      <c r="D346" s="25"/>
      <c r="E346" s="20"/>
      <c r="F346" s="20"/>
      <c r="G346" s="52" t="s">
        <v>246</v>
      </c>
      <c r="H346" s="52" t="s">
        <v>246</v>
      </c>
      <c r="I346" s="21" t="s">
        <v>357</v>
      </c>
      <c r="J346" s="21" t="s">
        <v>357</v>
      </c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</row>
    <row r="347" spans="1:65" ht="13.5" customHeight="1">
      <c r="A347" s="17" t="s">
        <v>466</v>
      </c>
      <c r="B347" s="18"/>
      <c r="C347" s="18"/>
      <c r="D347" s="14" t="s">
        <v>408</v>
      </c>
      <c r="E347" s="64">
        <f>-(F10*TAN(RADIANS(L28)))</f>
        <v>-0.16816677642508238</v>
      </c>
      <c r="F347" s="13">
        <f>F63</f>
        <v>2</v>
      </c>
      <c r="G347" s="22">
        <f>H128</f>
        <v>12.254004083958263</v>
      </c>
      <c r="H347" s="22">
        <f>H129</f>
        <v>0</v>
      </c>
      <c r="I347" s="22">
        <f>F131</f>
        <v>-1.6</v>
      </c>
      <c r="J347" s="22">
        <f>H131</f>
        <v>1.2291251509392942</v>
      </c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</row>
    <row r="348" spans="1:65" ht="13.5" customHeight="1">
      <c r="A348" s="26" t="s">
        <v>423</v>
      </c>
      <c r="B348" s="25"/>
      <c r="C348" s="25"/>
      <c r="D348" s="27" t="s">
        <v>268</v>
      </c>
      <c r="E348" s="64">
        <f>-(F10*TAN(RADIANS(L28)))</f>
        <v>-0.16816677642508238</v>
      </c>
      <c r="F348" s="13">
        <f>F63</f>
        <v>2</v>
      </c>
      <c r="G348" s="22">
        <f>H138</f>
        <v>1.0885916047072963</v>
      </c>
      <c r="H348" s="22">
        <v>0</v>
      </c>
      <c r="I348" s="22">
        <f>F141</f>
        <v>-1.6</v>
      </c>
      <c r="J348" s="22">
        <f>H141</f>
        <v>0.9159166117874589</v>
      </c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</row>
    <row r="349" spans="1:65" ht="13.5" customHeight="1">
      <c r="A349" s="26" t="s">
        <v>466</v>
      </c>
      <c r="B349" s="25"/>
      <c r="C349" s="25"/>
      <c r="D349" s="27" t="s">
        <v>408</v>
      </c>
      <c r="E349" s="64">
        <f>F63</f>
        <v>2</v>
      </c>
      <c r="F349" s="13">
        <f>F5</f>
        <v>3.3</v>
      </c>
      <c r="G349" s="22">
        <f>H182</f>
        <v>24.56308829635503</v>
      </c>
      <c r="H349" s="22">
        <v>0</v>
      </c>
      <c r="I349" s="22">
        <f>F185</f>
        <v>-1.6</v>
      </c>
      <c r="J349" s="22">
        <f>H185</f>
        <v>2.6929803965212398</v>
      </c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</row>
    <row r="350" spans="1:65" ht="13.5" customHeight="1">
      <c r="A350" s="26" t="s">
        <v>423</v>
      </c>
      <c r="B350" s="25"/>
      <c r="C350" s="25"/>
      <c r="D350" s="27" t="s">
        <v>24</v>
      </c>
      <c r="E350" s="64">
        <f>F63</f>
        <v>2</v>
      </c>
      <c r="F350" s="13">
        <f>F5</f>
        <v>3.3</v>
      </c>
      <c r="G350" s="22">
        <f>H192</f>
        <v>0.9370395929854161</v>
      </c>
      <c r="H350" s="22">
        <v>0</v>
      </c>
      <c r="I350" s="22">
        <f>F195</f>
        <v>-1.6</v>
      </c>
      <c r="J350" s="22">
        <f>H195</f>
        <v>2.65</v>
      </c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</row>
    <row r="351" spans="1:65" ht="13.5" customHeight="1">
      <c r="A351" s="26" t="s">
        <v>261</v>
      </c>
      <c r="B351" s="25"/>
      <c r="C351" s="25"/>
      <c r="D351" s="27" t="s">
        <v>73</v>
      </c>
      <c r="E351" s="64">
        <f>F5-L63</f>
        <v>2.5</v>
      </c>
      <c r="F351" s="13">
        <f>F5</f>
        <v>3.3</v>
      </c>
      <c r="G351" s="22">
        <f>H224*0.5</f>
        <v>-8.640000000000002</v>
      </c>
      <c r="H351" s="22">
        <f>H227*0.5</f>
        <v>0</v>
      </c>
      <c r="I351" s="22">
        <f>F229</f>
        <v>0.8</v>
      </c>
      <c r="J351" s="22">
        <f>H229</f>
        <v>3.033333333333333</v>
      </c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</row>
    <row r="352" spans="1:65" ht="13.5" customHeight="1">
      <c r="A352" s="26" t="s">
        <v>262</v>
      </c>
      <c r="B352" s="25"/>
      <c r="C352" s="25"/>
      <c r="D352" s="27" t="s">
        <v>180</v>
      </c>
      <c r="E352" s="7"/>
      <c r="F352" s="11"/>
      <c r="G352" s="22">
        <v>0</v>
      </c>
      <c r="H352" s="22">
        <f>H90</f>
        <v>36.8125</v>
      </c>
      <c r="I352" s="22">
        <f>F91</f>
        <v>-0.11754385964912273</v>
      </c>
      <c r="J352" s="22">
        <f>H91</f>
        <v>2.3579513299377477</v>
      </c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</row>
    <row r="353" spans="1:65" ht="13.5" customHeight="1">
      <c r="A353" s="26" t="s">
        <v>142</v>
      </c>
      <c r="B353" s="25"/>
      <c r="C353" s="25"/>
      <c r="D353" s="27" t="s">
        <v>181</v>
      </c>
      <c r="E353" s="7"/>
      <c r="F353" s="11"/>
      <c r="G353" s="22">
        <v>0</v>
      </c>
      <c r="H353" s="22">
        <f>H93</f>
        <v>85.62160158052117</v>
      </c>
      <c r="I353" s="22">
        <f>F94</f>
        <v>-0.8115935808761429</v>
      </c>
      <c r="J353" s="22">
        <f>H94</f>
        <v>1.4577113380701197</v>
      </c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</row>
    <row r="354" spans="1:65" ht="13.5" customHeight="1">
      <c r="A354" s="26" t="s">
        <v>143</v>
      </c>
      <c r="B354" s="25"/>
      <c r="C354" s="25"/>
      <c r="D354" s="27" t="s">
        <v>147</v>
      </c>
      <c r="E354" s="7"/>
      <c r="F354" s="11"/>
      <c r="G354" s="22">
        <v>0</v>
      </c>
      <c r="H354" s="22">
        <f>L29*F10</f>
        <v>4.800000000000001</v>
      </c>
      <c r="I354" s="22">
        <f>J257</f>
        <v>-0.8</v>
      </c>
      <c r="J354" s="22">
        <f>K257</f>
        <v>0</v>
      </c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</row>
    <row r="355" spans="1:65" ht="13.5" customHeight="1">
      <c r="A355" s="26" t="s">
        <v>364</v>
      </c>
      <c r="B355" s="25"/>
      <c r="C355" s="25"/>
      <c r="D355" s="27" t="s">
        <v>291</v>
      </c>
      <c r="E355" s="7"/>
      <c r="F355" s="11"/>
      <c r="G355" s="22">
        <v>0</v>
      </c>
      <c r="H355" s="22">
        <f>L30*F10</f>
        <v>3.2</v>
      </c>
      <c r="I355" s="22">
        <f>-F10/2</f>
        <v>-0.8</v>
      </c>
      <c r="J355" s="22">
        <v>0</v>
      </c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</row>
    <row r="356" spans="1:65" ht="13.5" customHeight="1">
      <c r="A356" s="26" t="s">
        <v>298</v>
      </c>
      <c r="B356" s="25"/>
      <c r="C356" s="25"/>
      <c r="D356" s="27" t="s">
        <v>379</v>
      </c>
      <c r="E356" s="7"/>
      <c r="F356" s="11"/>
      <c r="G356" s="22">
        <v>0</v>
      </c>
      <c r="H356" s="22">
        <f>F28</f>
        <v>2.7</v>
      </c>
      <c r="I356" s="22">
        <f>F30</f>
        <v>0.12</v>
      </c>
      <c r="J356" s="22">
        <v>0</v>
      </c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</row>
    <row r="357" spans="1:65" ht="13.5" customHeight="1">
      <c r="A357" s="20" t="s">
        <v>311</v>
      </c>
      <c r="B357" s="15"/>
      <c r="C357" s="15"/>
      <c r="D357" s="16" t="s">
        <v>380</v>
      </c>
      <c r="E357" s="7"/>
      <c r="F357" s="11"/>
      <c r="G357" s="22">
        <v>0</v>
      </c>
      <c r="H357" s="22">
        <f>F29</f>
        <v>1.8</v>
      </c>
      <c r="I357" s="22">
        <f>F30</f>
        <v>0.12</v>
      </c>
      <c r="J357" s="22">
        <v>0</v>
      </c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</row>
    <row r="358" spans="1:65" ht="21.75" customHeight="1">
      <c r="A358" s="46" t="s">
        <v>435</v>
      </c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</row>
    <row r="359" spans="1:65" ht="13.5" customHeight="1">
      <c r="A359" s="17" t="s">
        <v>428</v>
      </c>
      <c r="B359" s="18"/>
      <c r="C359" s="18"/>
      <c r="D359" s="18"/>
      <c r="E359" s="19" t="s">
        <v>31</v>
      </c>
      <c r="F359" s="51" t="s">
        <v>32</v>
      </c>
      <c r="G359" s="19" t="s">
        <v>255</v>
      </c>
      <c r="H359" s="51" t="s">
        <v>63</v>
      </c>
      <c r="I359" s="51" t="s">
        <v>70</v>
      </c>
      <c r="J359" s="19" t="s">
        <v>71</v>
      </c>
      <c r="K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</row>
    <row r="360" spans="1:65" ht="13.5" customHeight="1">
      <c r="A360" s="26"/>
      <c r="B360" s="25"/>
      <c r="C360" s="25"/>
      <c r="D360" s="25"/>
      <c r="E360" s="48"/>
      <c r="F360" s="20"/>
      <c r="G360" s="48" t="s">
        <v>246</v>
      </c>
      <c r="H360" s="52" t="s">
        <v>246</v>
      </c>
      <c r="I360" s="52" t="s">
        <v>357</v>
      </c>
      <c r="J360" s="21" t="s">
        <v>357</v>
      </c>
      <c r="K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</row>
    <row r="361" spans="1:65" ht="13.5" customHeight="1">
      <c r="A361" s="17" t="s">
        <v>116</v>
      </c>
      <c r="B361" s="18"/>
      <c r="C361" s="18"/>
      <c r="D361" s="14" t="s">
        <v>408</v>
      </c>
      <c r="E361" s="97">
        <f>-(F10*TAN(RADIANS(L28)))</f>
        <v>-0.16816677642508238</v>
      </c>
      <c r="F361" s="97">
        <f>F63</f>
        <v>2</v>
      </c>
      <c r="G361" s="22">
        <f>H160</f>
        <v>5.442748893510009</v>
      </c>
      <c r="H361" s="22"/>
      <c r="I361" s="22">
        <f>F131</f>
        <v>-1.6</v>
      </c>
      <c r="J361" s="22">
        <f>H131</f>
        <v>1.2291251509392942</v>
      </c>
      <c r="K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</row>
    <row r="362" spans="1:65" ht="13.5" customHeight="1">
      <c r="A362" s="26" t="s">
        <v>423</v>
      </c>
      <c r="B362" s="25"/>
      <c r="C362" s="25"/>
      <c r="D362" s="27" t="s">
        <v>268</v>
      </c>
      <c r="E362" s="97">
        <f>-(F10*TAN(RADIANS(L28)))</f>
        <v>-0.16816677642508238</v>
      </c>
      <c r="F362" s="97">
        <f>F63</f>
        <v>2</v>
      </c>
      <c r="G362" s="22">
        <f>H149*H158</f>
        <v>0.4835097745528957</v>
      </c>
      <c r="H362" s="22"/>
      <c r="I362" s="22">
        <f>F131</f>
        <v>-1.6</v>
      </c>
      <c r="J362" s="22">
        <f>H141</f>
        <v>0.9159166117874589</v>
      </c>
      <c r="K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</row>
    <row r="363" spans="1:65" ht="13.5" customHeight="1">
      <c r="A363" s="26" t="s">
        <v>116</v>
      </c>
      <c r="B363" s="25"/>
      <c r="C363" s="25"/>
      <c r="D363" s="27" t="s">
        <v>408</v>
      </c>
      <c r="E363" s="97">
        <f>F63</f>
        <v>2</v>
      </c>
      <c r="F363" s="97">
        <f>F5</f>
        <v>3.3</v>
      </c>
      <c r="G363" s="22">
        <f>H214</f>
        <v>8.439864411465093</v>
      </c>
      <c r="H363" s="22"/>
      <c r="I363" s="22">
        <f>F131</f>
        <v>-1.6</v>
      </c>
      <c r="J363" s="22">
        <f>H185</f>
        <v>2.6929803965212398</v>
      </c>
      <c r="K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</row>
    <row r="364" spans="1:65" ht="13.5" customHeight="1">
      <c r="A364" s="26" t="s">
        <v>423</v>
      </c>
      <c r="B364" s="25"/>
      <c r="C364" s="25"/>
      <c r="D364" s="27" t="s">
        <v>268</v>
      </c>
      <c r="E364" s="97">
        <f>F63</f>
        <v>2</v>
      </c>
      <c r="F364" s="97">
        <f>F5</f>
        <v>3.3</v>
      </c>
      <c r="G364" s="22">
        <f>H216</f>
        <v>0.3219663186304186</v>
      </c>
      <c r="H364" s="22"/>
      <c r="I364" s="22">
        <f>F131</f>
        <v>-1.6</v>
      </c>
      <c r="J364" s="22">
        <f>H195</f>
        <v>2.65</v>
      </c>
      <c r="K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</row>
    <row r="365" spans="1:65" ht="13.5" customHeight="1">
      <c r="A365" s="26" t="s">
        <v>262</v>
      </c>
      <c r="B365" s="25"/>
      <c r="C365" s="25"/>
      <c r="D365" s="27" t="s">
        <v>180</v>
      </c>
      <c r="E365" s="98"/>
      <c r="F365" s="98"/>
      <c r="G365" s="22">
        <f>H100</f>
        <v>5.89</v>
      </c>
      <c r="H365" s="22">
        <f>-H101</f>
        <v>-2.945</v>
      </c>
      <c r="I365" s="22">
        <f>F91</f>
        <v>-0.11754385964912273</v>
      </c>
      <c r="J365" s="22">
        <f>H91</f>
        <v>2.3579513299377477</v>
      </c>
      <c r="K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</row>
    <row r="366" spans="1:65" ht="13.5" customHeight="1">
      <c r="A366" s="26" t="s">
        <v>142</v>
      </c>
      <c r="B366" s="25"/>
      <c r="C366" s="25"/>
      <c r="D366" s="27" t="s">
        <v>181</v>
      </c>
      <c r="E366" s="98"/>
      <c r="F366" s="98"/>
      <c r="G366" s="22">
        <f>H106</f>
        <v>13.699456252883389</v>
      </c>
      <c r="H366" s="22">
        <f>-H107</f>
        <v>-6.849728126441694</v>
      </c>
      <c r="I366" s="22">
        <f>F94</f>
        <v>-0.8115935808761429</v>
      </c>
      <c r="J366" s="22">
        <f>H94</f>
        <v>1.4577113380701197</v>
      </c>
      <c r="K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</row>
    <row r="367" spans="1:65" ht="13.5" customHeight="1">
      <c r="A367" s="26" t="s">
        <v>143</v>
      </c>
      <c r="B367" s="25"/>
      <c r="C367" s="25"/>
      <c r="D367" s="27" t="s">
        <v>147</v>
      </c>
      <c r="E367" s="98"/>
      <c r="F367" s="98"/>
      <c r="G367" s="59">
        <f>L29*F10*F81</f>
        <v>0.7680000000000001</v>
      </c>
      <c r="H367" s="59">
        <f>-L29*F10*F82</f>
        <v>-0.38400000000000006</v>
      </c>
      <c r="I367" s="22">
        <f>-0.5*F10</f>
        <v>-0.8</v>
      </c>
      <c r="J367" s="22">
        <v>0</v>
      </c>
      <c r="K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</row>
    <row r="368" spans="1:65" ht="13.5" customHeight="1">
      <c r="A368" s="26" t="s">
        <v>364</v>
      </c>
      <c r="B368" s="25"/>
      <c r="C368" s="25"/>
      <c r="D368" s="27" t="s">
        <v>291</v>
      </c>
      <c r="E368" s="98"/>
      <c r="F368" s="98"/>
      <c r="G368" s="59">
        <f>L30*F10*F81</f>
        <v>0.512</v>
      </c>
      <c r="H368" s="59">
        <f>-L30*F10*F82</f>
        <v>-0.256</v>
      </c>
      <c r="I368" s="22">
        <f>-0.5*F10</f>
        <v>-0.8</v>
      </c>
      <c r="J368" s="22">
        <v>0</v>
      </c>
      <c r="K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</row>
    <row r="369" spans="1:65" ht="13.5" customHeight="1">
      <c r="A369" s="26" t="s">
        <v>298</v>
      </c>
      <c r="B369" s="25"/>
      <c r="C369" s="25"/>
      <c r="D369" s="27" t="s">
        <v>379</v>
      </c>
      <c r="E369" s="98"/>
      <c r="F369" s="98"/>
      <c r="G369" s="59">
        <f>H102</f>
        <v>0.43200000000000005</v>
      </c>
      <c r="H369" s="59">
        <f>-H103</f>
        <v>-0.21600000000000003</v>
      </c>
      <c r="I369" s="22">
        <f>F30</f>
        <v>0.12</v>
      </c>
      <c r="J369" s="22">
        <v>0</v>
      </c>
      <c r="K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</row>
    <row r="370" spans="1:65" ht="13.5" customHeight="1">
      <c r="A370" s="26" t="s">
        <v>311</v>
      </c>
      <c r="B370" s="25"/>
      <c r="C370" s="25"/>
      <c r="D370" s="27" t="s">
        <v>380</v>
      </c>
      <c r="E370" s="98"/>
      <c r="F370" s="98"/>
      <c r="G370" s="59">
        <f>H104</f>
        <v>0.28800000000000003</v>
      </c>
      <c r="H370" s="59">
        <f>-H105</f>
        <v>-0.14400000000000002</v>
      </c>
      <c r="I370" s="22">
        <f>F30</f>
        <v>0.12</v>
      </c>
      <c r="J370" s="22">
        <v>0</v>
      </c>
      <c r="K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</row>
    <row r="371" spans="1:65" ht="13.5" customHeight="1">
      <c r="A371" s="20"/>
      <c r="B371" s="15"/>
      <c r="C371" s="15"/>
      <c r="D371" s="16"/>
      <c r="E371" s="6"/>
      <c r="F371" s="7"/>
      <c r="G371" s="22"/>
      <c r="H371" s="22"/>
      <c r="I371" s="11"/>
      <c r="J371" s="11"/>
      <c r="K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</row>
    <row r="372" spans="1:65" ht="18.75" customHeight="1">
      <c r="A372" s="121" t="s">
        <v>105</v>
      </c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</row>
    <row r="373" spans="1:65" ht="13.5" customHeight="1">
      <c r="A373" s="17" t="s">
        <v>428</v>
      </c>
      <c r="B373" s="18"/>
      <c r="C373" s="18"/>
      <c r="D373" s="18"/>
      <c r="E373" s="19" t="s">
        <v>31</v>
      </c>
      <c r="F373" s="51" t="s">
        <v>32</v>
      </c>
      <c r="G373" s="19" t="s">
        <v>255</v>
      </c>
      <c r="H373" s="51" t="s">
        <v>63</v>
      </c>
      <c r="I373" s="51" t="s">
        <v>236</v>
      </c>
      <c r="J373" s="19" t="s">
        <v>237</v>
      </c>
      <c r="K373" s="19" t="s">
        <v>358</v>
      </c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</row>
    <row r="374" spans="1:65" ht="13.5" customHeight="1">
      <c r="A374" s="26"/>
      <c r="B374" s="25"/>
      <c r="C374" s="25"/>
      <c r="D374" s="25"/>
      <c r="E374" s="48"/>
      <c r="F374" s="20"/>
      <c r="G374" s="48" t="s">
        <v>246</v>
      </c>
      <c r="H374" s="52" t="s">
        <v>246</v>
      </c>
      <c r="I374" s="52" t="s">
        <v>357</v>
      </c>
      <c r="J374" s="21" t="s">
        <v>357</v>
      </c>
      <c r="K374" s="21" t="s">
        <v>247</v>
      </c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</row>
    <row r="375" spans="1:65" ht="13.5" customHeight="1">
      <c r="A375" s="17" t="s">
        <v>116</v>
      </c>
      <c r="B375" s="18"/>
      <c r="C375" s="18"/>
      <c r="D375" s="14" t="s">
        <v>408</v>
      </c>
      <c r="E375" s="64">
        <f>-(F10*TAN(RADIANS(L28)))</f>
        <v>-0.16816677642508238</v>
      </c>
      <c r="F375" s="13">
        <f>F63</f>
        <v>2</v>
      </c>
      <c r="G375" s="22">
        <f>G347+G361</f>
        <v>17.69675297746827</v>
      </c>
      <c r="H375" s="22">
        <v>0</v>
      </c>
      <c r="I375" s="22">
        <f>F15</f>
        <v>2.4000000000000004</v>
      </c>
      <c r="J375" s="22">
        <f>H132</f>
        <v>2.0708748490607056</v>
      </c>
      <c r="K375" s="22">
        <f>G375*J375-H375*I375</f>
        <v>36.6477606510792</v>
      </c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</row>
    <row r="376" spans="1:65" ht="13.5" customHeight="1">
      <c r="A376" s="26" t="s">
        <v>423</v>
      </c>
      <c r="B376" s="25"/>
      <c r="C376" s="25"/>
      <c r="D376" s="27" t="s">
        <v>268</v>
      </c>
      <c r="E376" s="64">
        <f>-(F10*TAN(RADIANS(L28)))</f>
        <v>-0.16816677642508238</v>
      </c>
      <c r="F376" s="13">
        <f>F63</f>
        <v>2</v>
      </c>
      <c r="G376" s="22">
        <f>G348+G362</f>
        <v>1.5721013792601921</v>
      </c>
      <c r="H376" s="22">
        <v>0</v>
      </c>
      <c r="I376" s="22">
        <f>F15</f>
        <v>2.4000000000000004</v>
      </c>
      <c r="J376" s="22">
        <f>H142</f>
        <v>2.3840833882125407</v>
      </c>
      <c r="K376" s="22">
        <f aca="true" t="shared" si="4" ref="K376:K384">G376*J376-H376*I376</f>
        <v>3.748020782880247</v>
      </c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</row>
    <row r="377" spans="1:65" ht="13.5" customHeight="1">
      <c r="A377" s="17" t="s">
        <v>116</v>
      </c>
      <c r="B377" s="25"/>
      <c r="C377" s="25"/>
      <c r="D377" s="14" t="s">
        <v>408</v>
      </c>
      <c r="E377" s="64">
        <f>F63</f>
        <v>2</v>
      </c>
      <c r="F377" s="13">
        <f>F5</f>
        <v>3.3</v>
      </c>
      <c r="G377" s="22">
        <f>G349+G363</f>
        <v>33.00295270782012</v>
      </c>
      <c r="H377" s="22">
        <v>0</v>
      </c>
      <c r="I377" s="22">
        <f>F15</f>
        <v>2.4000000000000004</v>
      </c>
      <c r="J377" s="22">
        <f>H186</f>
        <v>0.60701960347876</v>
      </c>
      <c r="K377" s="22">
        <f t="shared" si="4"/>
        <v>20.03343926632924</v>
      </c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</row>
    <row r="378" spans="1:65" ht="13.5" customHeight="1">
      <c r="A378" s="26" t="s">
        <v>423</v>
      </c>
      <c r="B378" s="25"/>
      <c r="C378" s="25"/>
      <c r="D378" s="27" t="s">
        <v>268</v>
      </c>
      <c r="E378" s="64">
        <f>F63</f>
        <v>2</v>
      </c>
      <c r="F378" s="13">
        <f>F5</f>
        <v>3.3</v>
      </c>
      <c r="G378" s="22">
        <f>G350+G364</f>
        <v>1.2590059116158345</v>
      </c>
      <c r="H378" s="22">
        <v>0</v>
      </c>
      <c r="I378" s="22">
        <f>F15</f>
        <v>2.4000000000000004</v>
      </c>
      <c r="J378" s="22">
        <f>H196</f>
        <v>0.6499999999999999</v>
      </c>
      <c r="K378" s="22">
        <f t="shared" si="4"/>
        <v>0.8183538425502923</v>
      </c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</row>
    <row r="379" spans="1:65" ht="13.5" customHeight="1">
      <c r="A379" s="26" t="s">
        <v>262</v>
      </c>
      <c r="B379" s="25"/>
      <c r="C379" s="25"/>
      <c r="D379" s="27" t="s">
        <v>180</v>
      </c>
      <c r="E379" s="9"/>
      <c r="F379" s="71"/>
      <c r="G379" s="22">
        <f>G365</f>
        <v>5.89</v>
      </c>
      <c r="H379" s="59">
        <f aca="true" t="shared" si="5" ref="H379:H384">H352+H365</f>
        <v>33.8675</v>
      </c>
      <c r="I379" s="22">
        <f>F92</f>
        <v>0.9175438596491228</v>
      </c>
      <c r="J379" s="22">
        <f>H92</f>
        <v>0.942048670062252</v>
      </c>
      <c r="K379" s="22">
        <f t="shared" si="4"/>
        <v>-25.526250000000005</v>
      </c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</row>
    <row r="380" spans="1:65" ht="13.5" customHeight="1">
      <c r="A380" s="26" t="s">
        <v>142</v>
      </c>
      <c r="B380" s="25"/>
      <c r="C380" s="25"/>
      <c r="D380" s="27" t="s">
        <v>426</v>
      </c>
      <c r="E380" s="9"/>
      <c r="F380" s="71"/>
      <c r="G380" s="22">
        <f>G366</f>
        <v>13.699456252883389</v>
      </c>
      <c r="H380" s="59">
        <f t="shared" si="5"/>
        <v>78.77187345407948</v>
      </c>
      <c r="I380" s="22">
        <f>F95</f>
        <v>1.6115935808761428</v>
      </c>
      <c r="J380" s="22">
        <f>H95</f>
        <v>1.8422886619298802</v>
      </c>
      <c r="K380" s="22">
        <f t="shared" si="4"/>
        <v>-101.70989268289087</v>
      </c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</row>
    <row r="381" spans="1:65" ht="13.5" customHeight="1">
      <c r="A381" s="26" t="s">
        <v>143</v>
      </c>
      <c r="B381" s="25"/>
      <c r="C381" s="25"/>
      <c r="D381" s="27" t="s">
        <v>147</v>
      </c>
      <c r="E381" s="7"/>
      <c r="F381" s="11"/>
      <c r="G381" s="59">
        <f>G367</f>
        <v>0.7680000000000001</v>
      </c>
      <c r="H381" s="59">
        <f t="shared" si="5"/>
        <v>4.416</v>
      </c>
      <c r="I381" s="22">
        <f>F9+F8+F10/2</f>
        <v>1.6</v>
      </c>
      <c r="J381" s="22">
        <f>F5</f>
        <v>3.3</v>
      </c>
      <c r="K381" s="22">
        <f t="shared" si="4"/>
        <v>-4.5312</v>
      </c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</row>
    <row r="382" spans="1:65" ht="13.5" customHeight="1">
      <c r="A382" s="26" t="s">
        <v>364</v>
      </c>
      <c r="B382" s="25"/>
      <c r="C382" s="25"/>
      <c r="D382" s="27" t="s">
        <v>291</v>
      </c>
      <c r="E382" s="11"/>
      <c r="F382" s="11"/>
      <c r="G382" s="168">
        <f>G368</f>
        <v>0.512</v>
      </c>
      <c r="H382" s="59">
        <f t="shared" si="5"/>
        <v>2.944</v>
      </c>
      <c r="I382" s="93">
        <f>F9+F8+F10/2</f>
        <v>1.6</v>
      </c>
      <c r="J382" s="93">
        <f>F5</f>
        <v>3.3</v>
      </c>
      <c r="K382" s="22">
        <f t="shared" si="4"/>
        <v>-3.0208</v>
      </c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</row>
    <row r="383" spans="1:65" ht="13.5" customHeight="1">
      <c r="A383" s="26" t="s">
        <v>143</v>
      </c>
      <c r="B383" s="25"/>
      <c r="C383" s="25"/>
      <c r="D383" s="27" t="s">
        <v>25</v>
      </c>
      <c r="E383" s="6"/>
      <c r="F383" s="14"/>
      <c r="G383" s="168">
        <f>H102</f>
        <v>0.43200000000000005</v>
      </c>
      <c r="H383" s="168">
        <f t="shared" si="5"/>
        <v>2.484</v>
      </c>
      <c r="I383" s="93">
        <f>F9+F8-F30</f>
        <v>0.68</v>
      </c>
      <c r="J383" s="93">
        <f>F5</f>
        <v>3.3</v>
      </c>
      <c r="K383" s="22">
        <f t="shared" si="4"/>
        <v>-0.26352</v>
      </c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</row>
    <row r="384" spans="1:65" ht="13.5" customHeight="1">
      <c r="A384" s="26" t="s">
        <v>364</v>
      </c>
      <c r="B384" s="25"/>
      <c r="C384" s="25"/>
      <c r="D384" s="27" t="s">
        <v>26</v>
      </c>
      <c r="E384" s="6"/>
      <c r="F384" s="14"/>
      <c r="G384" s="168">
        <f>H104</f>
        <v>0.28800000000000003</v>
      </c>
      <c r="H384" s="59">
        <f t="shared" si="5"/>
        <v>1.6560000000000001</v>
      </c>
      <c r="I384" s="93">
        <f>F9+F8-F30</f>
        <v>0.68</v>
      </c>
      <c r="J384" s="93">
        <f>F5</f>
        <v>3.3</v>
      </c>
      <c r="K384" s="22">
        <f t="shared" si="4"/>
        <v>-0.17568000000000017</v>
      </c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</row>
    <row r="385" spans="1:65" ht="13.5" customHeight="1">
      <c r="A385" s="26"/>
      <c r="B385" s="25"/>
      <c r="C385" s="25"/>
      <c r="D385" s="27"/>
      <c r="E385" s="6" t="s">
        <v>202</v>
      </c>
      <c r="F385" s="14"/>
      <c r="G385" s="4"/>
      <c r="H385" s="22">
        <f>SUM(H375:H384)</f>
        <v>124.13937345407948</v>
      </c>
      <c r="I385" s="4"/>
      <c r="J385" s="4"/>
      <c r="K385" s="93">
        <f>SUM(K375:K384)</f>
        <v>-73.97976814005187</v>
      </c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</row>
    <row r="386" spans="1:65" ht="13.5" customHeight="1">
      <c r="A386" s="17" t="s">
        <v>407</v>
      </c>
      <c r="B386" s="18"/>
      <c r="C386" s="18"/>
      <c r="D386" s="14"/>
      <c r="E386" s="116" t="s">
        <v>256</v>
      </c>
      <c r="F386" s="67">
        <f>H385</f>
        <v>124.13937345407948</v>
      </c>
      <c r="G386" s="7" t="s">
        <v>74</v>
      </c>
      <c r="I386" s="341" t="s">
        <v>382</v>
      </c>
      <c r="J386" s="342"/>
      <c r="K386" s="342"/>
      <c r="L386" s="343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</row>
    <row r="387" spans="1:65" ht="13.5" customHeight="1">
      <c r="A387" s="26" t="s">
        <v>28</v>
      </c>
      <c r="B387" s="25"/>
      <c r="C387" s="25"/>
      <c r="D387" s="27"/>
      <c r="E387" s="117" t="s">
        <v>257</v>
      </c>
      <c r="F387" s="67">
        <f>K385</f>
        <v>-73.97976814005187</v>
      </c>
      <c r="G387" s="7" t="s">
        <v>167</v>
      </c>
      <c r="I387" s="26"/>
      <c r="J387" s="25"/>
      <c r="K387" s="25"/>
      <c r="L387" s="2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</row>
    <row r="388" spans="1:65" ht="13.5" customHeight="1">
      <c r="A388" s="26" t="s">
        <v>449</v>
      </c>
      <c r="B388" s="25"/>
      <c r="C388" s="25"/>
      <c r="D388" s="27"/>
      <c r="E388" s="117" t="s">
        <v>338</v>
      </c>
      <c r="F388" s="67">
        <f>G375*J375+G376*J376+G377*J377+G378*J378+G379*J379+G380*J380+G381*J381+G382*J382+G383*J383+G384*J384+H375*(F15/2-I375)+H376*(F15/2-I376)+H377*(F15/2-I377)+H378*(F15/2-I378)+H379*(F15/2-I379)+H380*(F15/2-I380)+H381*(F15/2-I381)+H382*(F15/2-I382)+H383*(F15/2-I383)+H384*(F15/2-I384)</f>
        <v>74.98748000484352</v>
      </c>
      <c r="G388" s="7" t="s">
        <v>167</v>
      </c>
      <c r="I388" s="26"/>
      <c r="J388" s="25"/>
      <c r="K388" s="25"/>
      <c r="L388" s="27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</row>
    <row r="389" spans="1:65" ht="13.5" customHeight="1" thickBot="1">
      <c r="A389" s="26" t="s">
        <v>429</v>
      </c>
      <c r="B389" s="25"/>
      <c r="C389" s="25"/>
      <c r="D389" s="27"/>
      <c r="E389" s="117" t="s">
        <v>285</v>
      </c>
      <c r="F389" s="13">
        <f>F388/F386</f>
        <v>0.6040587922943096</v>
      </c>
      <c r="G389" s="120" t="str">
        <f>IF(F389&lt;H389,"&lt;","&gt;")</f>
        <v>&gt;</v>
      </c>
      <c r="H389" s="287">
        <f>F15/6</f>
        <v>0.4000000000000001</v>
      </c>
      <c r="I389" s="26"/>
      <c r="J389" s="25"/>
      <c r="K389" s="25"/>
      <c r="L389" s="27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</row>
    <row r="390" spans="1:65" ht="13.5" customHeight="1">
      <c r="A390" s="26" t="s">
        <v>372</v>
      </c>
      <c r="B390" s="25"/>
      <c r="C390" s="25"/>
      <c r="D390" s="27"/>
      <c r="E390" s="117" t="s">
        <v>240</v>
      </c>
      <c r="F390" s="114">
        <f>IF(F389&lt;H389,F386/F15*(1+6*F389/F15)/1000,IF(F389=H389,2*F386/F15,2*F386/(3*(F15/2-F389))/1000))</f>
        <v>0.13887205857325277</v>
      </c>
      <c r="G390" s="6" t="s">
        <v>339</v>
      </c>
      <c r="H390" s="179" t="s">
        <v>330</v>
      </c>
      <c r="I390" s="25"/>
      <c r="J390" s="25"/>
      <c r="K390" s="25"/>
      <c r="L390" s="27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</row>
    <row r="391" spans="1:65" ht="13.5" customHeight="1" thickBot="1">
      <c r="A391" s="26" t="s">
        <v>303</v>
      </c>
      <c r="B391" s="25"/>
      <c r="C391" s="25"/>
      <c r="D391" s="27"/>
      <c r="E391" s="117" t="s">
        <v>239</v>
      </c>
      <c r="F391" s="114">
        <f>IF(F389&lt;H389,F386/F15*(1-6*F389/F15)/1000,IF(F389=H389,0,F386/F15*(1-6*F389/F15)/1000))</f>
        <v>-0.02638721939917888</v>
      </c>
      <c r="G391" s="6" t="s">
        <v>341</v>
      </c>
      <c r="H391" s="180">
        <f>IF(F389&lt;=H389,"",3*(F15/2-F389))</f>
        <v>1.7878236231170717</v>
      </c>
      <c r="I391" s="25"/>
      <c r="J391" s="25"/>
      <c r="K391" s="25"/>
      <c r="L391" s="27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</row>
    <row r="392" spans="1:65" ht="13.5" customHeight="1">
      <c r="A392" s="26" t="s">
        <v>450</v>
      </c>
      <c r="B392" s="25"/>
      <c r="C392" s="25"/>
      <c r="D392" s="27"/>
      <c r="E392" s="117" t="s">
        <v>203</v>
      </c>
      <c r="F392" s="114">
        <f>F15-ABS(2*F389)</f>
        <v>1.1918824154113812</v>
      </c>
      <c r="G392" s="113" t="s">
        <v>342</v>
      </c>
      <c r="I392" s="26"/>
      <c r="J392" s="25"/>
      <c r="K392" s="25"/>
      <c r="L392" s="27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</row>
    <row r="393" spans="1:65" ht="13.5" customHeight="1">
      <c r="A393" s="20" t="s">
        <v>267</v>
      </c>
      <c r="B393" s="15"/>
      <c r="C393" s="15"/>
      <c r="D393" s="16"/>
      <c r="E393" s="38" t="s">
        <v>290</v>
      </c>
      <c r="F393" s="115">
        <f>F392*(1000*L72)/1</f>
        <v>238.37648308227622</v>
      </c>
      <c r="G393" s="14" t="s">
        <v>337</v>
      </c>
      <c r="I393" s="20"/>
      <c r="J393" s="15"/>
      <c r="K393" s="15"/>
      <c r="L393" s="16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</row>
    <row r="394" spans="1:65" ht="19.5" customHeight="1">
      <c r="A394" s="118" t="s">
        <v>514</v>
      </c>
      <c r="B394" s="119"/>
      <c r="C394" s="119"/>
      <c r="D394" s="119"/>
      <c r="E394" s="107" t="str">
        <f>IF(F393&gt;F386,"ΦEPOYΣA IKANOTHTA EΔAΦOYΣ (ME ΣEIΣMO) KAΛH ( αφού  Rd &gt; Vd )","***  AΛΛAΓH ΔIATOMHΣ  *** ( αφού  Rd &lt; Vd ) ")</f>
        <v>ΦEPOYΣA IKANOTHTA EΔAΦOYΣ (ME ΣEIΣMO) KAΛH ( αφού  Rd &gt; Vd )</v>
      </c>
      <c r="F394" s="87"/>
      <c r="G394" s="87"/>
      <c r="H394" s="87"/>
      <c r="I394" s="87"/>
      <c r="J394" s="87"/>
      <c r="K394" s="87"/>
      <c r="L394" s="10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</row>
    <row r="395" spans="1:65" ht="21.75" customHeight="1">
      <c r="A395" s="121" t="s">
        <v>359</v>
      </c>
      <c r="L395" s="29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</row>
    <row r="396" spans="1:65" ht="13.5" customHeight="1">
      <c r="A396" s="17" t="s">
        <v>190</v>
      </c>
      <c r="B396" s="18"/>
      <c r="C396" s="18"/>
      <c r="D396" s="18"/>
      <c r="E396" s="50" t="s">
        <v>241</v>
      </c>
      <c r="F396" s="89">
        <f>F6+F7+F9</f>
        <v>0.8</v>
      </c>
      <c r="G396" s="50" t="s">
        <v>122</v>
      </c>
      <c r="H396" s="89">
        <f>F5</f>
        <v>3.3</v>
      </c>
      <c r="L396" s="3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</row>
    <row r="397" spans="1:65" ht="13.5" customHeight="1">
      <c r="A397" s="26"/>
      <c r="B397" s="25"/>
      <c r="C397" s="25"/>
      <c r="D397" s="25"/>
      <c r="E397" s="50" t="s">
        <v>165</v>
      </c>
      <c r="F397" s="89">
        <v>0</v>
      </c>
      <c r="G397" s="50" t="s">
        <v>166</v>
      </c>
      <c r="H397" s="89">
        <v>0</v>
      </c>
      <c r="L397" s="3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</row>
    <row r="398" spans="1:65" ht="13.5" customHeight="1">
      <c r="A398" s="17" t="s">
        <v>428</v>
      </c>
      <c r="B398" s="18"/>
      <c r="C398" s="18"/>
      <c r="D398" s="14"/>
      <c r="E398" s="96" t="s">
        <v>31</v>
      </c>
      <c r="F398" s="54" t="s">
        <v>32</v>
      </c>
      <c r="G398" s="53" t="s">
        <v>255</v>
      </c>
      <c r="H398" s="54" t="s">
        <v>59</v>
      </c>
      <c r="I398" s="51" t="s">
        <v>236</v>
      </c>
      <c r="J398" s="19" t="s">
        <v>237</v>
      </c>
      <c r="K398" s="19" t="s">
        <v>182</v>
      </c>
      <c r="L398" s="19" t="s">
        <v>304</v>
      </c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</row>
    <row r="399" spans="1:65" ht="13.5" customHeight="1">
      <c r="A399" s="20"/>
      <c r="B399" s="15"/>
      <c r="C399" s="15"/>
      <c r="D399" s="16"/>
      <c r="E399" s="16"/>
      <c r="F399" s="20"/>
      <c r="G399" s="21" t="s">
        <v>246</v>
      </c>
      <c r="H399" s="52" t="s">
        <v>246</v>
      </c>
      <c r="I399" s="52" t="s">
        <v>357</v>
      </c>
      <c r="J399" s="21" t="s">
        <v>357</v>
      </c>
      <c r="K399" s="21" t="s">
        <v>247</v>
      </c>
      <c r="L399" s="21" t="s">
        <v>247</v>
      </c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</row>
    <row r="400" spans="1:65" ht="13.5" customHeight="1">
      <c r="A400" s="17" t="s">
        <v>49</v>
      </c>
      <c r="B400" s="18"/>
      <c r="C400" s="18"/>
      <c r="D400" s="14" t="s">
        <v>408</v>
      </c>
      <c r="E400" s="22">
        <f>-(F10*TAN(RADIANS(L28)))</f>
        <v>-0.16816677642508238</v>
      </c>
      <c r="F400" s="22">
        <f>F63</f>
        <v>2</v>
      </c>
      <c r="G400" s="22">
        <f>G375</f>
        <v>17.69675297746827</v>
      </c>
      <c r="H400" s="22">
        <f>H375</f>
        <v>0</v>
      </c>
      <c r="I400" s="22">
        <f>F15</f>
        <v>2.4000000000000004</v>
      </c>
      <c r="J400" s="22">
        <f>J375</f>
        <v>2.0708748490607056</v>
      </c>
      <c r="K400" s="22">
        <f aca="true" t="shared" si="6" ref="K400:K409">G400*J400+ABS(H361)*I400</f>
        <v>36.6477606510792</v>
      </c>
      <c r="L400" s="22">
        <f>H400*I400+H361*I400</f>
        <v>0</v>
      </c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</row>
    <row r="401" spans="1:65" ht="13.5" customHeight="1">
      <c r="A401" s="26" t="s">
        <v>423</v>
      </c>
      <c r="B401" s="25"/>
      <c r="C401" s="25"/>
      <c r="D401" s="27" t="s">
        <v>268</v>
      </c>
      <c r="E401" s="22">
        <f>-(F10*TAN(RADIANS(L28)))</f>
        <v>-0.16816677642508238</v>
      </c>
      <c r="F401" s="22">
        <f>F63</f>
        <v>2</v>
      </c>
      <c r="G401" s="22">
        <f>G376</f>
        <v>1.5721013792601921</v>
      </c>
      <c r="H401" s="22">
        <v>0</v>
      </c>
      <c r="I401" s="22">
        <f>F15</f>
        <v>2.4000000000000004</v>
      </c>
      <c r="J401" s="22">
        <f>H142</f>
        <v>2.3840833882125407</v>
      </c>
      <c r="K401" s="22">
        <f t="shared" si="6"/>
        <v>3.748020782880247</v>
      </c>
      <c r="L401" s="22">
        <v>0</v>
      </c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</row>
    <row r="402" spans="1:65" ht="13.5" customHeight="1">
      <c r="A402" s="17" t="s">
        <v>49</v>
      </c>
      <c r="B402" s="25"/>
      <c r="C402" s="25"/>
      <c r="D402" s="14" t="s">
        <v>23</v>
      </c>
      <c r="E402" s="22">
        <f>F63</f>
        <v>2</v>
      </c>
      <c r="F402" s="22">
        <f>F5</f>
        <v>3.3</v>
      </c>
      <c r="G402" s="22">
        <f>G349+G363</f>
        <v>33.00295270782012</v>
      </c>
      <c r="H402" s="22">
        <v>0</v>
      </c>
      <c r="I402" s="22">
        <f>F15</f>
        <v>2.4000000000000004</v>
      </c>
      <c r="J402" s="22">
        <f>H186</f>
        <v>0.60701960347876</v>
      </c>
      <c r="K402" s="22">
        <f t="shared" si="6"/>
        <v>20.03343926632924</v>
      </c>
      <c r="L402" s="22">
        <v>0</v>
      </c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</row>
    <row r="403" spans="1:65" ht="13.5" customHeight="1">
      <c r="A403" s="26" t="s">
        <v>423</v>
      </c>
      <c r="B403" s="25"/>
      <c r="C403" s="25"/>
      <c r="D403" s="27" t="s">
        <v>24</v>
      </c>
      <c r="E403" s="22">
        <f>F63</f>
        <v>2</v>
      </c>
      <c r="F403" s="22">
        <f>F5</f>
        <v>3.3</v>
      </c>
      <c r="G403" s="22">
        <f>G350+G364</f>
        <v>1.2590059116158345</v>
      </c>
      <c r="H403" s="22">
        <v>0</v>
      </c>
      <c r="I403" s="22">
        <f>F15</f>
        <v>2.4000000000000004</v>
      </c>
      <c r="J403" s="22">
        <f>H196</f>
        <v>0.6499999999999999</v>
      </c>
      <c r="K403" s="22">
        <f t="shared" si="6"/>
        <v>0.8183538425502923</v>
      </c>
      <c r="L403" s="22">
        <v>0</v>
      </c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</row>
    <row r="404" spans="1:65" ht="13.5" customHeight="1">
      <c r="A404" s="26" t="s">
        <v>262</v>
      </c>
      <c r="B404" s="25"/>
      <c r="C404" s="25"/>
      <c r="D404" s="27" t="s">
        <v>180</v>
      </c>
      <c r="E404" s="22"/>
      <c r="F404" s="22"/>
      <c r="G404" s="22">
        <f aca="true" t="shared" si="7" ref="G404:J406">G379</f>
        <v>5.89</v>
      </c>
      <c r="H404" s="22">
        <f t="shared" si="7"/>
        <v>33.8675</v>
      </c>
      <c r="I404" s="22">
        <f t="shared" si="7"/>
        <v>0.9175438596491228</v>
      </c>
      <c r="J404" s="22">
        <f t="shared" si="7"/>
        <v>0.942048670062252</v>
      </c>
      <c r="K404" s="22">
        <f t="shared" si="6"/>
        <v>8.25083333333333</v>
      </c>
      <c r="L404" s="101">
        <f aca="true" t="shared" si="8" ref="L404:L409">K404+ABS(K379)</f>
        <v>33.77708333333334</v>
      </c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</row>
    <row r="405" spans="1:65" ht="13.5" customHeight="1">
      <c r="A405" s="26" t="s">
        <v>142</v>
      </c>
      <c r="B405" s="25"/>
      <c r="C405" s="25"/>
      <c r="D405" s="27" t="s">
        <v>181</v>
      </c>
      <c r="E405" s="11"/>
      <c r="F405" s="11"/>
      <c r="G405" s="22">
        <f t="shared" si="7"/>
        <v>13.699456252883389</v>
      </c>
      <c r="H405" s="22">
        <f t="shared" si="7"/>
        <v>78.77187345407948</v>
      </c>
      <c r="I405" s="22">
        <f t="shared" si="7"/>
        <v>1.6115935808761428</v>
      </c>
      <c r="J405" s="22">
        <f t="shared" si="7"/>
        <v>1.8422886619298802</v>
      </c>
      <c r="K405" s="22">
        <f t="shared" si="6"/>
        <v>36.27733080861167</v>
      </c>
      <c r="L405" s="288">
        <f t="shared" si="8"/>
        <v>137.98722349150253</v>
      </c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</row>
    <row r="406" spans="1:65" ht="13.5" customHeight="1">
      <c r="A406" s="26" t="s">
        <v>86</v>
      </c>
      <c r="B406" s="25"/>
      <c r="C406" s="25"/>
      <c r="D406" s="27" t="s">
        <v>147</v>
      </c>
      <c r="E406" s="11"/>
      <c r="F406" s="11"/>
      <c r="G406" s="22">
        <f t="shared" si="7"/>
        <v>0.7680000000000001</v>
      </c>
      <c r="H406" s="22">
        <f t="shared" si="7"/>
        <v>4.416</v>
      </c>
      <c r="I406" s="22">
        <f t="shared" si="7"/>
        <v>1.6</v>
      </c>
      <c r="J406" s="22">
        <f t="shared" si="7"/>
        <v>3.3</v>
      </c>
      <c r="K406" s="22">
        <f t="shared" si="6"/>
        <v>3.1488000000000005</v>
      </c>
      <c r="L406" s="101">
        <f t="shared" si="8"/>
        <v>7.680000000000001</v>
      </c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</row>
    <row r="407" spans="1:65" ht="13.5" customHeight="1">
      <c r="A407" s="26" t="s">
        <v>364</v>
      </c>
      <c r="B407" s="25"/>
      <c r="C407" s="25"/>
      <c r="D407" s="25" t="s">
        <v>291</v>
      </c>
      <c r="E407" s="11"/>
      <c r="F407" s="11"/>
      <c r="G407" s="60">
        <f>L30*F10*F81</f>
        <v>0.512</v>
      </c>
      <c r="H407" s="22">
        <f>L30*F10-L30*F10*F82</f>
        <v>2.944</v>
      </c>
      <c r="I407" s="22">
        <f>F9+F8+F10/2</f>
        <v>1.6</v>
      </c>
      <c r="J407" s="22">
        <f>F5</f>
        <v>3.3</v>
      </c>
      <c r="K407" s="22">
        <f t="shared" si="6"/>
        <v>2.0992</v>
      </c>
      <c r="L407" s="101">
        <f t="shared" si="8"/>
        <v>5.12</v>
      </c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</row>
    <row r="408" spans="1:65" ht="13.5" customHeight="1">
      <c r="A408" s="26" t="s">
        <v>111</v>
      </c>
      <c r="B408" s="25"/>
      <c r="C408" s="25"/>
      <c r="D408" s="27" t="s">
        <v>25</v>
      </c>
      <c r="E408" s="11"/>
      <c r="F408" s="11"/>
      <c r="G408" s="60">
        <f>H102</f>
        <v>0.43200000000000005</v>
      </c>
      <c r="H408" s="22">
        <f>H356+H369</f>
        <v>2.484</v>
      </c>
      <c r="I408" s="22">
        <f>F9+F8-F30</f>
        <v>0.68</v>
      </c>
      <c r="J408" s="22">
        <f>F5</f>
        <v>3.3</v>
      </c>
      <c r="K408" s="22">
        <f t="shared" si="6"/>
        <v>1.5724800000000003</v>
      </c>
      <c r="L408" s="101">
        <f t="shared" si="8"/>
        <v>1.8360000000000003</v>
      </c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</row>
    <row r="409" spans="1:65" ht="13.5" customHeight="1">
      <c r="A409" s="26" t="s">
        <v>112</v>
      </c>
      <c r="B409" s="25"/>
      <c r="C409" s="25"/>
      <c r="D409" s="27" t="s">
        <v>26</v>
      </c>
      <c r="E409" s="4"/>
      <c r="F409" s="4"/>
      <c r="G409" s="60">
        <f>H104</f>
        <v>0.28800000000000003</v>
      </c>
      <c r="H409" s="22">
        <f>H357+H370</f>
        <v>1.6560000000000001</v>
      </c>
      <c r="I409" s="22">
        <f>F9+F8-F30</f>
        <v>0.68</v>
      </c>
      <c r="J409" s="22">
        <f>F5</f>
        <v>3.3</v>
      </c>
      <c r="K409" s="22">
        <f t="shared" si="6"/>
        <v>1.0483200000000001</v>
      </c>
      <c r="L409" s="101">
        <f t="shared" si="8"/>
        <v>1.2240000000000002</v>
      </c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</row>
    <row r="410" spans="1:65" ht="13.5" customHeight="1">
      <c r="A410" s="20"/>
      <c r="B410" s="15"/>
      <c r="C410" s="15"/>
      <c r="D410" s="15"/>
      <c r="E410" s="5" t="s">
        <v>202</v>
      </c>
      <c r="F410" s="7"/>
      <c r="G410" s="7"/>
      <c r="H410" s="11"/>
      <c r="I410" s="11"/>
      <c r="J410" s="11"/>
      <c r="K410" s="22">
        <f>SUM(K400:K409)</f>
        <v>113.64453868478398</v>
      </c>
      <c r="L410" s="58">
        <f>SUM(L400:L409)</f>
        <v>187.62430682483588</v>
      </c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</row>
    <row r="411" spans="1:65" ht="13.5" customHeight="1">
      <c r="A411" s="2" t="s">
        <v>510</v>
      </c>
      <c r="L411" s="3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</row>
    <row r="412" spans="1:65" ht="18" customHeight="1">
      <c r="A412" s="78" t="s">
        <v>60</v>
      </c>
      <c r="L412" s="3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</row>
    <row r="413" spans="1:65" ht="13.5" customHeight="1">
      <c r="A413" s="17" t="s">
        <v>235</v>
      </c>
      <c r="B413" s="18"/>
      <c r="C413" s="18"/>
      <c r="D413" s="14"/>
      <c r="E413" s="50" t="s">
        <v>241</v>
      </c>
      <c r="F413" s="89">
        <f>F6+F7+F9</f>
        <v>0.8</v>
      </c>
      <c r="G413" s="50" t="s">
        <v>122</v>
      </c>
      <c r="H413" s="89">
        <f>F5</f>
        <v>3.3</v>
      </c>
      <c r="L413" s="3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</row>
    <row r="414" spans="1:65" ht="13.5" customHeight="1">
      <c r="A414" s="20"/>
      <c r="B414" s="15"/>
      <c r="C414" s="15"/>
      <c r="D414" s="16"/>
      <c r="E414" s="50" t="s">
        <v>165</v>
      </c>
      <c r="F414" s="89">
        <v>0</v>
      </c>
      <c r="G414" s="50" t="s">
        <v>166</v>
      </c>
      <c r="H414" s="89">
        <v>0</v>
      </c>
      <c r="L414" s="25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</row>
    <row r="415" spans="1:65" ht="13.5" customHeight="1">
      <c r="A415" s="26" t="s">
        <v>87</v>
      </c>
      <c r="B415" s="25"/>
      <c r="C415" s="25"/>
      <c r="D415" s="27"/>
      <c r="E415" s="57" t="s">
        <v>232</v>
      </c>
      <c r="F415" s="22">
        <f>K410</f>
        <v>113.64453868478398</v>
      </c>
      <c r="L415" s="2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</row>
    <row r="416" spans="1:65" ht="13.5" customHeight="1">
      <c r="A416" s="20" t="s">
        <v>485</v>
      </c>
      <c r="B416" s="15"/>
      <c r="C416" s="15"/>
      <c r="D416" s="16"/>
      <c r="E416" s="57" t="s">
        <v>269</v>
      </c>
      <c r="F416" s="93">
        <f>L410</f>
        <v>187.62430682483588</v>
      </c>
      <c r="L416" s="25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</row>
    <row r="417" spans="1:65" ht="19.5" customHeight="1">
      <c r="A417" s="94" t="s">
        <v>486</v>
      </c>
      <c r="B417" s="87"/>
      <c r="C417" s="87"/>
      <c r="D417" s="87"/>
      <c r="E417" s="107" t="str">
        <f>IF(F415&lt;=F416,"EΛEΓXOΣ ΣE ANATPOΠH (ME ΣEIΣMO) ENTAΞEI ( αφού Msd &lt; Mrd )","***  AΛΛAΓH ΔIATOMHΣ  ***")</f>
        <v>EΛEΓXOΣ ΣE ANATPOΠH (ME ΣEIΣMO) ENTAΞEI ( αφού Msd &lt; Mrd )</v>
      </c>
      <c r="F417" s="87"/>
      <c r="G417" s="87"/>
      <c r="H417" s="87"/>
      <c r="I417" s="87"/>
      <c r="J417" s="87"/>
      <c r="K417" s="87"/>
      <c r="L417" s="10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</row>
    <row r="418" spans="1:65" ht="18.75" customHeight="1">
      <c r="A418" s="121" t="s">
        <v>360</v>
      </c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</row>
    <row r="419" spans="1:65" ht="13.5" customHeight="1">
      <c r="A419" s="17" t="s">
        <v>428</v>
      </c>
      <c r="B419" s="18"/>
      <c r="C419" s="18"/>
      <c r="D419" s="14"/>
      <c r="E419" s="19" t="s">
        <v>31</v>
      </c>
      <c r="F419" s="19" t="s">
        <v>32</v>
      </c>
      <c r="G419" s="19" t="s">
        <v>293</v>
      </c>
      <c r="H419" s="19" t="s">
        <v>294</v>
      </c>
      <c r="I419" s="19" t="s">
        <v>59</v>
      </c>
      <c r="L419" s="25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</row>
    <row r="420" spans="1:65" ht="13.5" customHeight="1">
      <c r="A420" s="26"/>
      <c r="B420" s="25"/>
      <c r="C420" s="25"/>
      <c r="D420" s="27"/>
      <c r="E420" s="48"/>
      <c r="F420" s="48"/>
      <c r="G420" s="21" t="s">
        <v>246</v>
      </c>
      <c r="H420" s="21" t="s">
        <v>246</v>
      </c>
      <c r="I420" s="21" t="s">
        <v>246</v>
      </c>
      <c r="L420" s="25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</row>
    <row r="421" spans="1:65" ht="13.5" customHeight="1">
      <c r="A421" s="17" t="s">
        <v>49</v>
      </c>
      <c r="B421" s="18"/>
      <c r="C421" s="18"/>
      <c r="D421" s="14" t="s">
        <v>408</v>
      </c>
      <c r="E421" s="22">
        <f>-(F10*TAN(RADIANS(L28)))</f>
        <v>-0.16816677642508238</v>
      </c>
      <c r="F421" s="22">
        <f>F63</f>
        <v>2</v>
      </c>
      <c r="G421" s="22">
        <f>G400</f>
        <v>17.69675297746827</v>
      </c>
      <c r="H421" s="22">
        <v>0</v>
      </c>
      <c r="I421" s="22">
        <v>0</v>
      </c>
      <c r="J421" s="10"/>
      <c r="K421" s="10"/>
      <c r="L421" s="25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</row>
    <row r="422" spans="1:65" ht="13.5" customHeight="1">
      <c r="A422" s="26" t="s">
        <v>423</v>
      </c>
      <c r="B422" s="25"/>
      <c r="C422" s="25"/>
      <c r="D422" s="27" t="s">
        <v>268</v>
      </c>
      <c r="E422" s="22">
        <f>-(F10*TAN(RADIANS(L28)))</f>
        <v>-0.16816677642508238</v>
      </c>
      <c r="F422" s="22">
        <f>F63</f>
        <v>2</v>
      </c>
      <c r="G422" s="60">
        <f>G348+G362</f>
        <v>1.5721013792601921</v>
      </c>
      <c r="H422" s="22">
        <v>0</v>
      </c>
      <c r="I422" s="22">
        <v>0</v>
      </c>
      <c r="J422" s="10"/>
      <c r="K422" s="10"/>
      <c r="L422" s="25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</row>
    <row r="423" spans="1:65" ht="13.5" customHeight="1">
      <c r="A423" s="17" t="s">
        <v>49</v>
      </c>
      <c r="B423" s="25"/>
      <c r="C423" s="25"/>
      <c r="D423" s="14" t="s">
        <v>23</v>
      </c>
      <c r="E423" s="22">
        <f>F63</f>
        <v>2</v>
      </c>
      <c r="F423" s="22">
        <f>F5</f>
        <v>3.3</v>
      </c>
      <c r="G423" s="60">
        <f>G349+G363</f>
        <v>33.00295270782012</v>
      </c>
      <c r="H423" s="22">
        <v>0</v>
      </c>
      <c r="I423" s="22">
        <v>0</v>
      </c>
      <c r="J423" s="10"/>
      <c r="K423" s="10"/>
      <c r="L423" s="25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</row>
    <row r="424" spans="1:65" ht="13.5" customHeight="1">
      <c r="A424" s="26" t="s">
        <v>423</v>
      </c>
      <c r="B424" s="25"/>
      <c r="C424" s="25"/>
      <c r="D424" s="27" t="s">
        <v>24</v>
      </c>
      <c r="E424" s="22">
        <f>F63</f>
        <v>2</v>
      </c>
      <c r="F424" s="22">
        <f>F5</f>
        <v>3.3</v>
      </c>
      <c r="G424" s="60">
        <f>G350+G364</f>
        <v>1.2590059116158345</v>
      </c>
      <c r="H424" s="22">
        <v>0</v>
      </c>
      <c r="I424" s="22">
        <v>0</v>
      </c>
      <c r="J424" s="10"/>
      <c r="K424" s="10"/>
      <c r="L424" s="25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</row>
    <row r="425" spans="1:65" ht="13.5" customHeight="1">
      <c r="A425" s="26" t="s">
        <v>261</v>
      </c>
      <c r="B425" s="25"/>
      <c r="C425" s="25"/>
      <c r="D425" s="27" t="s">
        <v>48</v>
      </c>
      <c r="E425" s="22">
        <f>F5-F13</f>
        <v>2.9499999999999997</v>
      </c>
      <c r="F425" s="22">
        <f>F5</f>
        <v>3.3</v>
      </c>
      <c r="G425" s="60">
        <v>0</v>
      </c>
      <c r="H425" s="22">
        <f>ABS(H226*0.5)</f>
        <v>8.640000000000002</v>
      </c>
      <c r="I425" s="22">
        <v>0</v>
      </c>
      <c r="J425" s="10"/>
      <c r="K425" s="10"/>
      <c r="L425" s="34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</row>
    <row r="426" spans="1:65" ht="13.5" customHeight="1">
      <c r="A426" s="26" t="s">
        <v>262</v>
      </c>
      <c r="B426" s="25"/>
      <c r="C426" s="25"/>
      <c r="D426" s="27" t="s">
        <v>180</v>
      </c>
      <c r="E426" s="11"/>
      <c r="F426" s="11"/>
      <c r="G426" s="60">
        <f>G404</f>
        <v>5.89</v>
      </c>
      <c r="H426" s="22">
        <v>0</v>
      </c>
      <c r="I426" s="22">
        <f>H352+H365</f>
        <v>33.8675</v>
      </c>
      <c r="J426" s="10"/>
      <c r="K426" s="10"/>
      <c r="L426" s="35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</row>
    <row r="427" spans="1:65" ht="13.5" customHeight="1">
      <c r="A427" s="26" t="s">
        <v>142</v>
      </c>
      <c r="B427" s="25"/>
      <c r="C427" s="25"/>
      <c r="D427" s="27" t="s">
        <v>181</v>
      </c>
      <c r="E427" s="11"/>
      <c r="F427" s="11"/>
      <c r="G427" s="60">
        <f>G405</f>
        <v>13.699456252883389</v>
      </c>
      <c r="H427" s="22">
        <v>0</v>
      </c>
      <c r="I427" s="22">
        <f>H353+H366</f>
        <v>78.77187345407948</v>
      </c>
      <c r="J427" s="10"/>
      <c r="K427" s="10"/>
      <c r="L427" s="25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</row>
    <row r="428" spans="1:65" ht="13.5" customHeight="1">
      <c r="A428" s="26" t="s">
        <v>143</v>
      </c>
      <c r="B428" s="25"/>
      <c r="C428" s="25"/>
      <c r="D428" s="27" t="s">
        <v>147</v>
      </c>
      <c r="E428" s="11"/>
      <c r="F428" s="11"/>
      <c r="G428" s="60">
        <f>G406</f>
        <v>0.7680000000000001</v>
      </c>
      <c r="H428" s="22">
        <v>0</v>
      </c>
      <c r="I428" s="22">
        <f>H354+H367</f>
        <v>4.416</v>
      </c>
      <c r="J428" s="10"/>
      <c r="K428" s="10"/>
      <c r="L428" s="25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</row>
    <row r="429" spans="1:65" ht="13.5" customHeight="1">
      <c r="A429" s="26" t="s">
        <v>364</v>
      </c>
      <c r="B429" s="25"/>
      <c r="C429" s="25"/>
      <c r="D429" s="27" t="s">
        <v>291</v>
      </c>
      <c r="E429" s="11"/>
      <c r="F429" s="11"/>
      <c r="G429" s="60">
        <f>L30*F10*F81</f>
        <v>0.512</v>
      </c>
      <c r="H429" s="22">
        <v>0</v>
      </c>
      <c r="I429" s="22">
        <f>L30*F10-L30*F10*F82</f>
        <v>2.944</v>
      </c>
      <c r="J429" s="10"/>
      <c r="K429" s="10"/>
      <c r="L429" s="25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</row>
    <row r="430" spans="1:65" ht="13.5" customHeight="1">
      <c r="A430" s="26" t="s">
        <v>111</v>
      </c>
      <c r="B430" s="25"/>
      <c r="C430" s="25"/>
      <c r="D430" s="27" t="s">
        <v>25</v>
      </c>
      <c r="E430" s="11"/>
      <c r="F430" s="11"/>
      <c r="G430" s="60">
        <f>H102</f>
        <v>0.43200000000000005</v>
      </c>
      <c r="H430" s="22">
        <v>0</v>
      </c>
      <c r="I430" s="22">
        <f>H356+H369</f>
        <v>2.484</v>
      </c>
      <c r="J430" s="10"/>
      <c r="K430" s="10"/>
      <c r="L430" s="25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</row>
    <row r="431" spans="1:65" ht="13.5" customHeight="1">
      <c r="A431" s="26" t="s">
        <v>112</v>
      </c>
      <c r="B431" s="25"/>
      <c r="C431" s="25"/>
      <c r="D431" s="27" t="s">
        <v>26</v>
      </c>
      <c r="E431" s="11"/>
      <c r="F431" s="11"/>
      <c r="G431" s="60">
        <f>H104</f>
        <v>0.28800000000000003</v>
      </c>
      <c r="H431" s="22">
        <v>0</v>
      </c>
      <c r="I431" s="22">
        <f>H357+H370</f>
        <v>1.6560000000000001</v>
      </c>
      <c r="J431" s="10"/>
      <c r="K431" s="10"/>
      <c r="L431" s="25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</row>
    <row r="432" spans="1:65" ht="13.5" customHeight="1">
      <c r="A432" s="76"/>
      <c r="B432" s="77"/>
      <c r="C432" s="77"/>
      <c r="D432" s="109"/>
      <c r="E432" s="6" t="s">
        <v>202</v>
      </c>
      <c r="F432" s="7"/>
      <c r="G432" s="22">
        <f>SUM(G421:G431)</f>
        <v>75.1202692290478</v>
      </c>
      <c r="H432" s="22">
        <f>SUM(H421:H429)</f>
        <v>8.640000000000002</v>
      </c>
      <c r="I432" s="22">
        <f>SUM(I421:I431)</f>
        <v>124.13937345407948</v>
      </c>
      <c r="J432" s="10"/>
      <c r="K432" s="10"/>
      <c r="L432" s="25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</row>
    <row r="433" spans="1:65" ht="13.5" customHeight="1">
      <c r="A433" s="46" t="s">
        <v>50</v>
      </c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25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</row>
    <row r="434" spans="1:65" ht="15" customHeight="1">
      <c r="A434" s="17" t="s">
        <v>51</v>
      </c>
      <c r="B434" s="18"/>
      <c r="C434" s="18"/>
      <c r="D434" s="14"/>
      <c r="E434" s="65" t="s">
        <v>136</v>
      </c>
      <c r="F434" s="67">
        <f>I432*TAN(RADIANS(L73))/1</f>
        <v>71.67190068074426</v>
      </c>
      <c r="G434" s="7" t="s">
        <v>53</v>
      </c>
      <c r="H434" s="10"/>
      <c r="I434" s="10"/>
      <c r="J434" s="10"/>
      <c r="K434" s="10"/>
      <c r="L434" s="25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</row>
    <row r="435" spans="1:65" ht="15" customHeight="1">
      <c r="A435" s="26" t="s">
        <v>295</v>
      </c>
      <c r="B435" s="25"/>
      <c r="C435" s="25"/>
      <c r="D435" s="27"/>
      <c r="E435" s="65" t="s">
        <v>138</v>
      </c>
      <c r="F435" s="67">
        <f>G432</f>
        <v>75.1202692290478</v>
      </c>
      <c r="G435" s="7" t="s">
        <v>53</v>
      </c>
      <c r="H435" s="10"/>
      <c r="I435" s="10"/>
      <c r="J435" s="10"/>
      <c r="K435" s="10"/>
      <c r="L435" s="2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</row>
    <row r="436" spans="1:65" ht="15" customHeight="1">
      <c r="A436" s="20" t="s">
        <v>296</v>
      </c>
      <c r="B436" s="15"/>
      <c r="C436" s="15"/>
      <c r="D436" s="16"/>
      <c r="E436" s="110" t="s">
        <v>52</v>
      </c>
      <c r="F436" s="115">
        <f>F434+H432</f>
        <v>80.31190068074426</v>
      </c>
      <c r="G436" s="14" t="s">
        <v>53</v>
      </c>
      <c r="H436" s="10"/>
      <c r="I436" s="10"/>
      <c r="J436" s="10"/>
      <c r="K436" s="10"/>
      <c r="L436" s="25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</row>
    <row r="437" spans="1:65" ht="19.5" customHeight="1">
      <c r="A437" s="94" t="s">
        <v>113</v>
      </c>
      <c r="B437" s="111"/>
      <c r="C437" s="111"/>
      <c r="D437" s="111"/>
      <c r="E437" s="107" t="str">
        <f>IF(F435&lt;=F436,"EΛEΓXOΣ ΣE OΛIΣΘHΣH (ME ΣEIΣMO) ENTAΞEI ( αφού Hd &lt; Sd + Epd )","***  AΛΛAΓH ΔIATOMHΣ  ***   ( αφού Hd &gt; Sd + Epd )")</f>
        <v>EΛEΓXOΣ ΣE OΛIΣΘHΣH (ME ΣEIΣMO) ENTAΞEI ( αφού Hd &lt; Sd + Epd )</v>
      </c>
      <c r="F437" s="111"/>
      <c r="G437" s="111"/>
      <c r="H437" s="111"/>
      <c r="I437" s="111"/>
      <c r="J437" s="111"/>
      <c r="K437" s="111"/>
      <c r="L437" s="102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</row>
    <row r="438" spans="1:65" s="177" customFormat="1" ht="15" customHeight="1">
      <c r="A438" s="172"/>
      <c r="B438" s="173"/>
      <c r="C438" s="173"/>
      <c r="D438" s="173"/>
      <c r="E438" s="174"/>
      <c r="F438" s="173"/>
      <c r="G438" s="173"/>
      <c r="H438" s="173"/>
      <c r="I438" s="173"/>
      <c r="J438" s="173"/>
      <c r="K438" s="173"/>
      <c r="L438" s="175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</row>
    <row r="439" spans="1:65" ht="24.75" customHeight="1">
      <c r="A439" s="176" t="s">
        <v>361</v>
      </c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</row>
    <row r="440" spans="1:65" ht="24.75" customHeight="1">
      <c r="A440" s="176" t="s">
        <v>362</v>
      </c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</row>
    <row r="441" spans="1:65" ht="19.5" customHeight="1">
      <c r="A441" s="82" t="s">
        <v>388</v>
      </c>
      <c r="B441" s="10"/>
      <c r="C441" s="10"/>
      <c r="D441" s="10"/>
      <c r="E441" s="10"/>
      <c r="F441" s="10"/>
      <c r="G441" s="10"/>
      <c r="H441" s="10"/>
      <c r="I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</row>
    <row r="442" spans="1:65" ht="19.5" customHeight="1">
      <c r="A442" s="319" t="s">
        <v>484</v>
      </c>
      <c r="B442" s="320"/>
      <c r="C442" s="320"/>
      <c r="D442" s="320"/>
      <c r="E442" s="321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</row>
    <row r="443" spans="1:65" ht="13.5" customHeight="1">
      <c r="A443" s="51" t="s">
        <v>64</v>
      </c>
      <c r="B443" s="19" t="s">
        <v>448</v>
      </c>
      <c r="C443" s="19" t="s">
        <v>411</v>
      </c>
      <c r="D443" s="19" t="s">
        <v>59</v>
      </c>
      <c r="E443" s="19" t="s">
        <v>358</v>
      </c>
      <c r="F443"/>
      <c r="G443"/>
      <c r="H443"/>
      <c r="I443" s="10"/>
      <c r="J443" s="10"/>
      <c r="K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</row>
    <row r="444" spans="1:65" ht="13.5" customHeight="1">
      <c r="A444" s="52" t="s">
        <v>447</v>
      </c>
      <c r="B444" s="21" t="s">
        <v>447</v>
      </c>
      <c r="C444" s="21" t="s">
        <v>246</v>
      </c>
      <c r="D444" s="21" t="s">
        <v>246</v>
      </c>
      <c r="E444" s="21" t="s">
        <v>424</v>
      </c>
      <c r="F444"/>
      <c r="G444"/>
      <c r="H444"/>
      <c r="I444" s="10"/>
      <c r="J444" s="10"/>
      <c r="K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</row>
    <row r="445" spans="1:65" ht="13.5" customHeight="1">
      <c r="A445" s="1">
        <v>0</v>
      </c>
      <c r="B445" s="13">
        <f>IF(A445="","",$F$6+$F$7*($F$14-($F$14-A445))/$F$14)</f>
        <v>0.2</v>
      </c>
      <c r="C445" s="71"/>
      <c r="D445" s="71"/>
      <c r="E445" s="71"/>
      <c r="F445" s="10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</row>
    <row r="446" spans="1:65" ht="13.5" customHeight="1">
      <c r="A446" s="1">
        <f>IF(A445&gt;=F14,"",IF(0.5&lt;$F$14,0.5,$F$14))</f>
        <v>0.5</v>
      </c>
      <c r="B446" s="13">
        <f aca="true" t="shared" si="9" ref="B446:B458">IF(A446="","",$F$6+$F$7*($F$14-($F$14-A446))/$F$14)</f>
        <v>0.2169491525423729</v>
      </c>
      <c r="C446" s="13">
        <f aca="true" t="shared" si="10" ref="C446:C458">IF(A446="","",IF(A446&lt;=$F$63,$L$79*$F$64*$H$121*(A446+$F$10*TAN(RADIANS($L$28)))^2/2+$L$79*$L$29*$H$121*(A446+$F$10*TAN(RADIANS($L$28)))+$L$81*$L$30*$H$121*(A446+$F$10*TAN(RADIANS($L$28))),$L$79*($F$64*$H$121*$H$110^2/2+(($F$64*$H$110*$H$176)+($F$64*$H$110+$F$72*(A446-$F$63))*$H$176)*(A446-$F$63)/2)+$L$79*($L$29*$H$121*$H$110+$L$29*$H$176*(A446-$F$63))+$L$81*($L$30*$H$121*$H$110+$L$30*$H$176*(A446-$F$63))))</f>
        <v>2.544262854086296</v>
      </c>
      <c r="D446" s="13">
        <f aca="true" t="shared" si="11" ref="D446:D458">IF(A446="","",$F$28+A446*($B$445+B446)*0.5*$F$25)</f>
        <v>5.3059322033898315</v>
      </c>
      <c r="E446" s="13">
        <f aca="true" t="shared" si="12" ref="E446:E458">IF(A446="","",IF(A446&lt;=F63,($H$124*(A446+$F$10*TAN(RADIANS($L$28)))^2/2+$F$64*$H$121*(A446+$F$10*TAN(RADIANS($L$28)))^2/2*(A446+$F$10*TAN(RADIANS($L$28)))/3)*$L$79-(D446-$F$28)*(B446/2-($B$445^2+$B$445*B446+B446^2)/(3*($B$445+B446)))+$H$134*(A446+$F$10*TAN(RADIANS($L$28)))^2/2*$L$81+$F$28*($F$30-B446/2),$L$79*($F$64*$H$121*$H$110^2/2)*($H$110/3+(A446-$F$63))+$L$79*((($F$64*$H$110*$H$176)+($F$64*$H$110+$F$72*(A446-$F$63))*$H$176)*(A446-$F$63)/2)*((A446-$F$63)/2)+$L$79*($L$29*$H$121*$H$110)*($H$110/2+(A446-$F$63))+$L$79*($L$29*$H$176*(A446-$F$63))*((A446-$F$63)/2)+$L$81*($L$30*$H$121*$H$110)*($H$110/2+(A446-$F$63))+$L$81*($L$30*$H$176*(A446-$F$63))*((A446-$F$63)/2)+$F$28*($F$30-B446/2)+(D446-$F$28)*((B445^2+B445*B446+B446^2)/(3*(B445+B446))-B446/2)))</f>
        <v>0.7185792777245739</v>
      </c>
      <c r="F446" s="10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</row>
    <row r="447" spans="1:65" ht="13.5" customHeight="1">
      <c r="A447" s="1">
        <f>IF(A446&gt;=F14,"",IF(1&lt;$F$14,1,$F$14))</f>
        <v>1</v>
      </c>
      <c r="B447" s="13">
        <f t="shared" si="9"/>
        <v>0.2338983050847458</v>
      </c>
      <c r="C447" s="13">
        <f t="shared" si="10"/>
        <v>6.229707076249461</v>
      </c>
      <c r="D447" s="13">
        <f t="shared" si="11"/>
        <v>8.123728813559323</v>
      </c>
      <c r="E447" s="13">
        <f t="shared" si="12"/>
        <v>2.791771630441599</v>
      </c>
      <c r="F447" s="10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</row>
    <row r="448" spans="1:65" ht="13.5" customHeight="1">
      <c r="A448" s="1">
        <f>IF(A447&gt;=F14,"",IF(1.5&lt;$F$14,1.5,$F$14))</f>
        <v>1.5</v>
      </c>
      <c r="B448" s="13">
        <f t="shared" si="9"/>
        <v>0.2508474576271187</v>
      </c>
      <c r="C448" s="13">
        <f t="shared" si="10"/>
        <v>11.440217098355562</v>
      </c>
      <c r="D448" s="13">
        <f t="shared" si="11"/>
        <v>11.153389830508477</v>
      </c>
      <c r="E448" s="13">
        <f t="shared" si="12"/>
        <v>7.064175181399168</v>
      </c>
      <c r="F448" s="10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</row>
    <row r="449" spans="1:65" ht="13.5" customHeight="1">
      <c r="A449" s="1">
        <f>IF(A448&gt;=F14,"",IF(2&lt;$F$14,2,$F$14))</f>
        <v>2</v>
      </c>
      <c r="B449" s="13">
        <f t="shared" si="9"/>
        <v>0.2677966101694915</v>
      </c>
      <c r="C449" s="13">
        <f t="shared" si="10"/>
        <v>18.1757929204046</v>
      </c>
      <c r="D449" s="13">
        <f t="shared" si="11"/>
        <v>14.39491525423729</v>
      </c>
      <c r="E449" s="13">
        <f t="shared" si="12"/>
        <v>14.296527369494344</v>
      </c>
      <c r="F449" s="10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</row>
    <row r="450" spans="1:65" ht="13.5" customHeight="1">
      <c r="A450" s="1">
        <f>IF(A449&gt;=F14,"",IF(2.5&lt;$F$14,2.5,$F$14))</f>
        <v>2.5</v>
      </c>
      <c r="B450" s="13">
        <f t="shared" si="9"/>
        <v>0.2847457627118644</v>
      </c>
      <c r="C450" s="13">
        <f t="shared" si="10"/>
        <v>29.913376592658608</v>
      </c>
      <c r="D450" s="13">
        <f t="shared" si="11"/>
        <v>17.848305084745764</v>
      </c>
      <c r="E450" s="13">
        <f t="shared" si="12"/>
        <v>25.249565633624194</v>
      </c>
      <c r="F450" s="1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</row>
    <row r="451" spans="1:65" ht="13.5" customHeight="1">
      <c r="A451" s="1">
        <f>IF(A450&gt;=F14,"",IF(3&lt;$F$14,3,$F$14))</f>
        <v>2.9499999999999997</v>
      </c>
      <c r="B451" s="13">
        <f t="shared" si="9"/>
        <v>0.30000000000000004</v>
      </c>
      <c r="C451" s="13">
        <f t="shared" si="10"/>
        <v>42.14116797492324</v>
      </c>
      <c r="D451" s="13">
        <f t="shared" si="11"/>
        <v>21.1375</v>
      </c>
      <c r="E451" s="13">
        <f t="shared" si="12"/>
        <v>43.022551241764724</v>
      </c>
      <c r="F451" s="10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</row>
    <row r="452" spans="1:65" ht="13.5" customHeight="1">
      <c r="A452" s="1">
        <f>IF(A451&gt;=F14,"",IF(3.5&lt;$F$14,3.5,$F$14))</f>
      </c>
      <c r="B452" s="13">
        <f t="shared" si="9"/>
      </c>
      <c r="C452" s="13">
        <f t="shared" si="10"/>
      </c>
      <c r="D452" s="13">
        <f t="shared" si="11"/>
      </c>
      <c r="E452" s="13">
        <f t="shared" si="12"/>
      </c>
      <c r="F452" s="10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</row>
    <row r="453" spans="1:65" ht="13.5" customHeight="1">
      <c r="A453" s="1">
        <f>IF(A452&gt;=F14,"",IF(4&lt;$F$14,4,$F$14))</f>
      </c>
      <c r="B453" s="13">
        <f t="shared" si="9"/>
      </c>
      <c r="C453" s="13">
        <f t="shared" si="10"/>
      </c>
      <c r="D453" s="13">
        <f t="shared" si="11"/>
      </c>
      <c r="E453" s="13">
        <f t="shared" si="12"/>
      </c>
      <c r="F453" s="10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</row>
    <row r="454" spans="1:65" ht="13.5" customHeight="1">
      <c r="A454" s="1">
        <f>IF(A453&gt;=F14,"",IF(4.5&lt;$F$14,4.5,$F$14))</f>
      </c>
      <c r="B454" s="13">
        <f t="shared" si="9"/>
      </c>
      <c r="C454" s="13">
        <f t="shared" si="10"/>
      </c>
      <c r="D454" s="13">
        <f t="shared" si="11"/>
      </c>
      <c r="E454" s="13">
        <f t="shared" si="12"/>
      </c>
      <c r="F454" s="10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</row>
    <row r="455" spans="1:65" ht="13.5" customHeight="1">
      <c r="A455" s="1">
        <f>IF(A454&gt;=F14,"",IF(5&lt;$F$14,5,$F$14))</f>
      </c>
      <c r="B455" s="13">
        <f>IF(A455="","",$F$6+$F$7*($F$14-($F$14-A455))/$F$14)</f>
      </c>
      <c r="C455" s="13">
        <f t="shared" si="10"/>
      </c>
      <c r="D455" s="13">
        <f t="shared" si="11"/>
      </c>
      <c r="E455" s="13">
        <f t="shared" si="12"/>
      </c>
      <c r="F455" s="10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</row>
    <row r="456" spans="1:65" ht="13.5" customHeight="1">
      <c r="A456" s="1">
        <f>IF(A455&gt;=F14,"",IF(5.5&lt;$F$14,5.5,$F$14))</f>
      </c>
      <c r="B456" s="13">
        <f t="shared" si="9"/>
      </c>
      <c r="C456" s="13">
        <f t="shared" si="10"/>
      </c>
      <c r="D456" s="13">
        <f t="shared" si="11"/>
      </c>
      <c r="E456" s="13">
        <f t="shared" si="12"/>
      </c>
      <c r="F456" s="10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</row>
    <row r="457" spans="1:65" ht="13.5" customHeight="1">
      <c r="A457" s="1">
        <f>IF(A456&gt;=F14,"",IF(6&lt;$F$14,6,$F$14))</f>
      </c>
      <c r="B457" s="13">
        <f t="shared" si="9"/>
      </c>
      <c r="C457" s="13">
        <f t="shared" si="10"/>
      </c>
      <c r="D457" s="13">
        <f t="shared" si="11"/>
      </c>
      <c r="E457" s="13">
        <f t="shared" si="12"/>
      </c>
      <c r="F457" s="10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</row>
    <row r="458" spans="1:65" ht="13.5" customHeight="1">
      <c r="A458" s="1">
        <f>IF(A457&gt;=F14,"",IF(6.5&lt;$F$14,6.5,$F$14))</f>
      </c>
      <c r="B458" s="13">
        <f t="shared" si="9"/>
      </c>
      <c r="C458" s="13">
        <f t="shared" si="10"/>
      </c>
      <c r="D458" s="13">
        <f t="shared" si="11"/>
      </c>
      <c r="E458" s="13">
        <f t="shared" si="12"/>
      </c>
      <c r="F458" s="10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</row>
    <row r="459" spans="1:65" ht="13.5" customHeight="1">
      <c r="A459" s="126"/>
      <c r="B459" s="127"/>
      <c r="C459" s="126"/>
      <c r="D459" s="126"/>
      <c r="E459" s="126"/>
      <c r="F459" s="75"/>
      <c r="G459" s="10"/>
      <c r="H459" s="10"/>
      <c r="I459" s="10"/>
      <c r="J459" s="10"/>
      <c r="K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</row>
    <row r="460" spans="1:65" ht="13.5" customHeight="1">
      <c r="A460" s="126"/>
      <c r="B460" s="127"/>
      <c r="C460" s="126"/>
      <c r="D460" s="126"/>
      <c r="E460" s="126"/>
      <c r="F460" s="75"/>
      <c r="G460" s="10"/>
      <c r="H460" s="10"/>
      <c r="I460" s="10"/>
      <c r="J460" s="10"/>
      <c r="K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</row>
    <row r="461" spans="1:65" s="125" customFormat="1" ht="24.75" customHeight="1">
      <c r="A461" s="335" t="s">
        <v>489</v>
      </c>
      <c r="B461" s="336"/>
      <c r="C461" s="336"/>
      <c r="D461" s="336"/>
      <c r="E461" s="336"/>
      <c r="F461" s="336"/>
      <c r="G461" s="336"/>
      <c r="H461" s="336"/>
      <c r="I461" s="336"/>
      <c r="J461" s="336"/>
      <c r="K461" s="336"/>
      <c r="L461" s="337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</row>
    <row r="462" spans="1:65" ht="19.5" customHeight="1">
      <c r="A462" s="325" t="s">
        <v>433</v>
      </c>
      <c r="B462" s="326"/>
      <c r="C462" s="326"/>
      <c r="D462" s="327"/>
      <c r="E462" s="325" t="s">
        <v>499</v>
      </c>
      <c r="F462" s="326"/>
      <c r="G462" s="326"/>
      <c r="H462" s="327"/>
      <c r="I462" s="328" t="s">
        <v>260</v>
      </c>
      <c r="J462" s="329"/>
      <c r="K462" s="329"/>
      <c r="L462" s="33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</row>
    <row r="463" spans="1:65" ht="13.5" customHeight="1">
      <c r="A463" s="126"/>
      <c r="B463" s="127"/>
      <c r="C463" s="126"/>
      <c r="D463" s="126"/>
      <c r="E463" s="126"/>
      <c r="F463" s="10"/>
      <c r="G463" s="10"/>
      <c r="H463" s="10"/>
      <c r="I463" s="10"/>
      <c r="J463" s="10"/>
      <c r="K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</row>
    <row r="464" spans="1:65" ht="13.5" customHeight="1">
      <c r="A464" s="126"/>
      <c r="B464" s="127"/>
      <c r="C464" s="126"/>
      <c r="D464" s="126"/>
      <c r="E464" s="126"/>
      <c r="F464" s="10"/>
      <c r="G464" s="10"/>
      <c r="H464" s="10"/>
      <c r="I464" s="10"/>
      <c r="J464" s="10"/>
      <c r="K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</row>
    <row r="465" spans="1:65" ht="13.5" customHeight="1">
      <c r="A465" s="126"/>
      <c r="B465" s="127"/>
      <c r="C465" s="126"/>
      <c r="D465" s="126"/>
      <c r="E465" s="126"/>
      <c r="F465" s="10"/>
      <c r="G465" s="10"/>
      <c r="H465" s="10"/>
      <c r="I465" s="10"/>
      <c r="J465" s="10"/>
      <c r="K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</row>
    <row r="466" spans="1:65" ht="13.5" customHeight="1">
      <c r="A466" s="126"/>
      <c r="B466" s="127"/>
      <c r="C466" s="126"/>
      <c r="D466" s="126"/>
      <c r="E466" s="126"/>
      <c r="F466" s="10"/>
      <c r="G466" s="10"/>
      <c r="H466" s="10"/>
      <c r="I466" s="10"/>
      <c r="J466" s="10"/>
      <c r="K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</row>
    <row r="467" spans="1:65" ht="13.5" customHeight="1">
      <c r="A467" s="126"/>
      <c r="B467" s="127"/>
      <c r="C467" s="126"/>
      <c r="D467" s="126"/>
      <c r="E467" s="126"/>
      <c r="F467" s="10"/>
      <c r="G467" s="10"/>
      <c r="H467" s="10"/>
      <c r="I467" s="10"/>
      <c r="J467" s="10"/>
      <c r="K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</row>
    <row r="468" spans="1:65" ht="13.5" customHeight="1">
      <c r="A468" s="126"/>
      <c r="B468" s="127"/>
      <c r="C468" s="126"/>
      <c r="D468" s="126"/>
      <c r="E468" s="126"/>
      <c r="F468" s="10"/>
      <c r="G468" s="10"/>
      <c r="H468" s="10"/>
      <c r="I468" s="10"/>
      <c r="J468" s="10"/>
      <c r="K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</row>
    <row r="469" spans="1:65" ht="13.5" customHeight="1">
      <c r="A469" s="126"/>
      <c r="B469" s="127"/>
      <c r="C469" s="126"/>
      <c r="D469" s="126"/>
      <c r="E469" s="126"/>
      <c r="F469" s="10"/>
      <c r="G469" s="10"/>
      <c r="H469" s="10"/>
      <c r="I469" s="10"/>
      <c r="J469" s="10"/>
      <c r="K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</row>
    <row r="470" spans="1:65" ht="13.5" customHeight="1">
      <c r="A470" s="126"/>
      <c r="B470" s="127"/>
      <c r="C470" s="126"/>
      <c r="D470" s="126"/>
      <c r="E470" s="126"/>
      <c r="F470" s="10"/>
      <c r="G470" s="10"/>
      <c r="H470" s="10"/>
      <c r="I470" s="10"/>
      <c r="J470" s="10"/>
      <c r="K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</row>
    <row r="471" spans="1:65" ht="13.5" customHeight="1">
      <c r="A471" s="126"/>
      <c r="B471" s="127"/>
      <c r="C471" s="126"/>
      <c r="D471" s="126"/>
      <c r="E471" s="126"/>
      <c r="F471" s="10"/>
      <c r="G471" s="10"/>
      <c r="H471" s="10"/>
      <c r="I471" s="10"/>
      <c r="J471" s="10"/>
      <c r="K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</row>
    <row r="472" spans="1:65" ht="13.5" customHeight="1">
      <c r="A472" s="126"/>
      <c r="B472" s="127"/>
      <c r="C472" s="126"/>
      <c r="D472" s="126"/>
      <c r="E472" s="126"/>
      <c r="F472" s="10"/>
      <c r="G472" s="10"/>
      <c r="H472" s="10"/>
      <c r="I472" s="10"/>
      <c r="J472" s="10"/>
      <c r="K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</row>
    <row r="473" spans="1:65" ht="13.5" customHeight="1">
      <c r="A473" s="126"/>
      <c r="B473" s="127"/>
      <c r="C473" s="126"/>
      <c r="D473" s="126"/>
      <c r="E473" s="126"/>
      <c r="F473" s="10"/>
      <c r="G473" s="10"/>
      <c r="H473" s="10"/>
      <c r="I473" s="10"/>
      <c r="J473" s="10"/>
      <c r="K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</row>
    <row r="474" spans="1:65" ht="13.5" customHeight="1">
      <c r="A474" s="126"/>
      <c r="B474" s="127"/>
      <c r="C474" s="126"/>
      <c r="D474" s="126"/>
      <c r="E474" s="126"/>
      <c r="F474" s="10"/>
      <c r="G474" s="10"/>
      <c r="H474" s="10"/>
      <c r="I474" s="10"/>
      <c r="J474" s="10"/>
      <c r="K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</row>
    <row r="475" spans="1:65" ht="13.5" customHeight="1">
      <c r="A475" s="126"/>
      <c r="B475" s="127"/>
      <c r="C475" s="126"/>
      <c r="D475" s="126"/>
      <c r="E475" s="126"/>
      <c r="F475" s="10"/>
      <c r="G475" s="10"/>
      <c r="H475" s="10"/>
      <c r="I475" s="10"/>
      <c r="J475" s="10"/>
      <c r="K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</row>
    <row r="476" spans="1:65" ht="13.5" customHeight="1">
      <c r="A476" s="126"/>
      <c r="B476" s="127"/>
      <c r="C476" s="126"/>
      <c r="D476" s="126"/>
      <c r="E476" s="126"/>
      <c r="F476" s="10"/>
      <c r="G476" s="10"/>
      <c r="H476" s="10"/>
      <c r="I476" s="10"/>
      <c r="J476" s="10"/>
      <c r="K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</row>
    <row r="477" spans="1:65" ht="13.5" customHeight="1">
      <c r="A477" s="126"/>
      <c r="B477" s="127"/>
      <c r="C477" s="126"/>
      <c r="D477" s="126"/>
      <c r="E477" s="126"/>
      <c r="F477" s="10"/>
      <c r="G477" s="10"/>
      <c r="H477" s="10"/>
      <c r="I477" s="10"/>
      <c r="J477" s="10"/>
      <c r="K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</row>
    <row r="478" spans="1:65" ht="13.5" customHeight="1">
      <c r="A478" s="126"/>
      <c r="B478" s="127"/>
      <c r="C478" s="126"/>
      <c r="D478" s="126"/>
      <c r="E478" s="126"/>
      <c r="F478" s="10"/>
      <c r="G478" s="10"/>
      <c r="H478" s="10"/>
      <c r="I478" s="10"/>
      <c r="J478" s="10"/>
      <c r="K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</row>
    <row r="479" spans="1:65" ht="13.5" customHeight="1">
      <c r="A479" s="126"/>
      <c r="B479" s="127"/>
      <c r="C479" s="126"/>
      <c r="D479" s="126"/>
      <c r="E479" s="126"/>
      <c r="F479" s="10"/>
      <c r="G479" s="10"/>
      <c r="H479" s="10"/>
      <c r="I479" s="10"/>
      <c r="J479" s="10"/>
      <c r="K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</row>
    <row r="480" spans="1:65" ht="13.5" customHeight="1">
      <c r="A480" s="126"/>
      <c r="B480" s="127"/>
      <c r="C480" s="126"/>
      <c r="D480" s="126"/>
      <c r="E480" s="126"/>
      <c r="F480" s="10"/>
      <c r="G480" s="10"/>
      <c r="H480" s="10"/>
      <c r="I480" s="10"/>
      <c r="J480" s="10"/>
      <c r="K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</row>
    <row r="481" spans="1:65" ht="13.5" customHeight="1">
      <c r="A481" s="126"/>
      <c r="B481" s="127"/>
      <c r="C481" s="126"/>
      <c r="D481" s="126"/>
      <c r="E481" s="126"/>
      <c r="F481" s="10"/>
      <c r="G481" s="10"/>
      <c r="H481" s="10"/>
      <c r="I481" s="10"/>
      <c r="J481" s="10"/>
      <c r="K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</row>
    <row r="482" spans="1:65" ht="13.5" customHeight="1">
      <c r="A482" s="126"/>
      <c r="B482" s="127"/>
      <c r="C482" s="126"/>
      <c r="D482" s="126"/>
      <c r="E482" s="126"/>
      <c r="F482" s="10"/>
      <c r="G482" s="10"/>
      <c r="H482" s="10"/>
      <c r="I482" s="10"/>
      <c r="J482" s="10"/>
      <c r="K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</row>
    <row r="483" spans="1:65" ht="24.75" customHeight="1">
      <c r="A483" s="226" t="s">
        <v>399</v>
      </c>
      <c r="B483" s="127"/>
      <c r="C483" s="126"/>
      <c r="D483" s="126"/>
      <c r="E483" s="126"/>
      <c r="F483" s="10"/>
      <c r="G483" s="10"/>
      <c r="H483" s="10"/>
      <c r="I483" s="10"/>
      <c r="J483" s="10"/>
      <c r="K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</row>
    <row r="484" spans="1:65" ht="15.75" customHeight="1">
      <c r="A484" s="2" t="s">
        <v>333</v>
      </c>
      <c r="B484" s="10"/>
      <c r="C484" s="10"/>
      <c r="D484" s="10"/>
      <c r="E484" s="10"/>
      <c r="F484" s="10"/>
      <c r="G484" s="10"/>
      <c r="H484" s="10"/>
      <c r="I484" s="10"/>
      <c r="J484" s="51" t="s">
        <v>507</v>
      </c>
      <c r="K484" s="14"/>
      <c r="L484" s="141">
        <f>MIN(1/(1+$F$22/700),0.601*(1+$F$23/D488))*(0.688-0.286*MIN(1/(1+$F$22/700),0.601*(1+$F$23/D488)))</f>
        <v>0.3155714390569721</v>
      </c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</row>
    <row r="485" spans="1:65" ht="13.5" customHeight="1">
      <c r="A485" s="51" t="s">
        <v>64</v>
      </c>
      <c r="B485" s="19" t="s">
        <v>421</v>
      </c>
      <c r="C485" s="19" t="s">
        <v>420</v>
      </c>
      <c r="D485" s="19" t="s">
        <v>419</v>
      </c>
      <c r="E485" s="128" t="s">
        <v>509</v>
      </c>
      <c r="F485" s="19" t="s">
        <v>508</v>
      </c>
      <c r="G485" s="19" t="s">
        <v>65</v>
      </c>
      <c r="H485" s="19" t="s">
        <v>385</v>
      </c>
      <c r="I485" s="51" t="s">
        <v>498</v>
      </c>
      <c r="J485" s="346" t="s">
        <v>218</v>
      </c>
      <c r="K485" s="347"/>
      <c r="L485" s="348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</row>
    <row r="486" spans="1:65" ht="13.5" customHeight="1">
      <c r="A486" s="52" t="s">
        <v>447</v>
      </c>
      <c r="B486" s="21" t="s">
        <v>424</v>
      </c>
      <c r="C486" s="21" t="s">
        <v>246</v>
      </c>
      <c r="D486" s="21" t="s">
        <v>447</v>
      </c>
      <c r="E486" s="130" t="s">
        <v>246</v>
      </c>
      <c r="F486" s="123"/>
      <c r="G486" s="48"/>
      <c r="H486" s="21" t="s">
        <v>497</v>
      </c>
      <c r="I486" s="52" t="s">
        <v>497</v>
      </c>
      <c r="J486" s="349"/>
      <c r="K486" s="350"/>
      <c r="L486" s="351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</row>
    <row r="487" spans="1:65" ht="13.5" customHeight="1">
      <c r="A487" s="3">
        <v>0</v>
      </c>
      <c r="B487" s="21"/>
      <c r="C487" s="21"/>
      <c r="D487" s="21"/>
      <c r="E487" s="122"/>
      <c r="F487" s="122"/>
      <c r="G487" s="123"/>
      <c r="H487" s="122"/>
      <c r="I487" s="5"/>
      <c r="J487" s="142"/>
      <c r="K487" s="6"/>
      <c r="L487" s="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</row>
    <row r="488" spans="1:65" ht="13.5" customHeight="1">
      <c r="A488" s="1">
        <f>IF(A445&gt;=F14,"",IF(0.5&lt;$F$14,0.5,$F$14))</f>
        <v>0.5</v>
      </c>
      <c r="B488" s="1">
        <f>IF(A488="","",E446)</f>
        <v>0.7185792777245739</v>
      </c>
      <c r="C488" s="1">
        <f aca="true" t="shared" si="13" ref="C488:C498">IF(A488="","",-D446)</f>
        <v>-5.3059322033898315</v>
      </c>
      <c r="D488" s="13">
        <f aca="true" t="shared" si="14" ref="D488:D500">IF(A488="","",(B446-0.03))</f>
        <v>0.1869491525423729</v>
      </c>
      <c r="E488" s="13">
        <f aca="true" t="shared" si="15" ref="E488:E500">IF(B488="","",B488-C488*(B446/2-$F$23))</f>
        <v>1.1614897201261827</v>
      </c>
      <c r="F488" s="13">
        <f aca="true" t="shared" si="16" ref="F488:F500">IF(B488="","",E488/(1*D488^2*$F$20*10^3))</f>
        <v>0.0031155852936516895</v>
      </c>
      <c r="G488" s="129">
        <f>IF(B488="","",ΠINAKEΣ!C136)</f>
        <v>0.0031467411465882058</v>
      </c>
      <c r="H488" s="140">
        <f aca="true" t="shared" si="17" ref="H488:H500">IF(A488="","",IF(G488&lt;0.001,0,G488*1*100*D488*100*$F$20/$F$22+C488/(0.1*$F$22)))</f>
        <v>0.022288397555337736</v>
      </c>
      <c r="I488" s="166">
        <f>IF(A488="","",2*10*B446)</f>
        <v>4.3389830508474585</v>
      </c>
      <c r="J488" s="76"/>
      <c r="K488" s="15"/>
      <c r="L488" s="16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</row>
    <row r="489" spans="1:65" ht="13.5" customHeight="1">
      <c r="A489" s="1">
        <f>IF(A446&gt;=F14,"",IF(1&lt;$F$14,1,$F$14))</f>
        <v>1</v>
      </c>
      <c r="B489" s="1">
        <f aca="true" t="shared" si="18" ref="B489:B500">E447</f>
        <v>2.791771630441599</v>
      </c>
      <c r="C489" s="1">
        <f t="shared" si="13"/>
        <v>-8.123728813559323</v>
      </c>
      <c r="D489" s="13">
        <f t="shared" si="14"/>
        <v>0.2038983050847458</v>
      </c>
      <c r="E489" s="13">
        <f t="shared" si="15"/>
        <v>3.538741610332435</v>
      </c>
      <c r="F489" s="13">
        <f t="shared" si="16"/>
        <v>0.007979816373425852</v>
      </c>
      <c r="G489" s="129">
        <f>IF(B489="","",ΠINAKEΣ!C139)</f>
        <v>0.00805961453716011</v>
      </c>
      <c r="H489" s="140">
        <f t="shared" si="17"/>
        <v>0.21632074509140442</v>
      </c>
      <c r="I489" s="166">
        <f aca="true" t="shared" si="19" ref="I489:I500">IF(A489="","",2*10*B447)</f>
        <v>4.677966101694916</v>
      </c>
      <c r="J489" s="142"/>
      <c r="K489" s="6"/>
      <c r="L489" s="7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</row>
    <row r="490" spans="1:65" ht="13.5" customHeight="1">
      <c r="A490" s="1">
        <f>IF(A447&gt;=F14,"",IF(1.5&lt;$F$14,1.5,$F$14))</f>
        <v>1.5</v>
      </c>
      <c r="B490" s="1">
        <f t="shared" si="18"/>
        <v>7.064175181399168</v>
      </c>
      <c r="C490" s="1">
        <f t="shared" si="13"/>
        <v>-11.153389830508477</v>
      </c>
      <c r="D490" s="13">
        <f t="shared" si="14"/>
        <v>0.2208474576271187</v>
      </c>
      <c r="E490" s="13">
        <f t="shared" si="15"/>
        <v>8.184240177090063</v>
      </c>
      <c r="F490" s="13">
        <f t="shared" si="16"/>
        <v>0.01573130799926396</v>
      </c>
      <c r="G490" s="129">
        <f>IF(B490="","",ΠINAKEΣ!C142)</f>
        <v>0.016003247239241878</v>
      </c>
      <c r="H490" s="140">
        <f t="shared" si="17"/>
        <v>0.6105478603621963</v>
      </c>
      <c r="I490" s="166">
        <f t="shared" si="19"/>
        <v>5.016949152542374</v>
      </c>
      <c r="J490" s="142"/>
      <c r="K490" s="6"/>
      <c r="L490" s="7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</row>
    <row r="491" spans="1:65" ht="13.5" customHeight="1">
      <c r="A491" s="1">
        <f>IF(A448&gt;=F14,"",IF(2&lt;$F$14,2,$F$14))</f>
        <v>2</v>
      </c>
      <c r="B491" s="1">
        <f t="shared" si="18"/>
        <v>14.296527369494344</v>
      </c>
      <c r="C491" s="1">
        <f t="shared" si="13"/>
        <v>-14.39491525423729</v>
      </c>
      <c r="D491" s="13">
        <f t="shared" si="14"/>
        <v>0.23779661016949152</v>
      </c>
      <c r="E491" s="13">
        <f t="shared" si="15"/>
        <v>15.864109242519337</v>
      </c>
      <c r="F491" s="13">
        <f t="shared" si="16"/>
        <v>0.026301205189640058</v>
      </c>
      <c r="G491" s="129">
        <f>IF(B491="","",ΠINAKEΣ!C145)</f>
        <v>0.02689024134532926</v>
      </c>
      <c r="H491" s="140">
        <f t="shared" si="17"/>
        <v>1.2376784370123026</v>
      </c>
      <c r="I491" s="166">
        <f t="shared" si="19"/>
        <v>5.3559322033898304</v>
      </c>
      <c r="J491" s="142"/>
      <c r="K491" s="6"/>
      <c r="L491" s="7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</row>
    <row r="492" spans="1:65" ht="13.5" customHeight="1">
      <c r="A492" s="1">
        <f>IF(A449&gt;=F14,"",IF(2.5&lt;$F$14,2.5,$F$14))</f>
        <v>2.5</v>
      </c>
      <c r="B492" s="1">
        <f t="shared" si="18"/>
        <v>25.249565633624194</v>
      </c>
      <c r="C492" s="1">
        <f t="shared" si="13"/>
        <v>-17.848305084745764</v>
      </c>
      <c r="D492" s="13">
        <f t="shared" si="14"/>
        <v>0.25474576271186444</v>
      </c>
      <c r="E492" s="13">
        <f t="shared" si="15"/>
        <v>27.34447262874054</v>
      </c>
      <c r="F492" s="13">
        <f t="shared" si="16"/>
        <v>0.039502709991131264</v>
      </c>
      <c r="G492" s="129">
        <f>IF(B492="","",ΠINAKEΣ!E136)</f>
        <v>0.04067784549068783</v>
      </c>
      <c r="H492" s="140">
        <f t="shared" si="17"/>
        <v>2.1317578025176727</v>
      </c>
      <c r="I492" s="166">
        <f t="shared" si="19"/>
        <v>5.694915254237288</v>
      </c>
      <c r="J492" s="142"/>
      <c r="K492" s="6"/>
      <c r="L492" s="7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</row>
    <row r="493" spans="1:65" ht="13.5" customHeight="1">
      <c r="A493" s="1">
        <f>IF(A450&gt;=F14,"",IF(3&lt;$F$14,3,$F$14))</f>
        <v>2.9499999999999997</v>
      </c>
      <c r="B493" s="1">
        <f t="shared" si="18"/>
        <v>43.022551241764724</v>
      </c>
      <c r="C493" s="1">
        <f t="shared" si="13"/>
        <v>-21.1375</v>
      </c>
      <c r="D493" s="13">
        <f t="shared" si="14"/>
        <v>0.27</v>
      </c>
      <c r="E493" s="13">
        <f t="shared" si="15"/>
        <v>45.66473874176472</v>
      </c>
      <c r="F493" s="13">
        <f t="shared" si="16"/>
        <v>0.05872522986338056</v>
      </c>
      <c r="G493" s="129">
        <f>IF(B493="","",ΠINAKEΣ!E139)</f>
        <v>0.06113599595381719</v>
      </c>
      <c r="H493" s="140">
        <f t="shared" si="17"/>
        <v>3.563485871980851</v>
      </c>
      <c r="I493" s="166">
        <f t="shared" si="19"/>
        <v>6.000000000000001</v>
      </c>
      <c r="J493" s="142"/>
      <c r="K493" s="6"/>
      <c r="L493" s="7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</row>
    <row r="494" spans="1:65" ht="13.5" customHeight="1">
      <c r="A494" s="1">
        <f>IF(A451&gt;=F14,"",IF(3.5&lt;$F$14,3.5,$F$14))</f>
      </c>
      <c r="B494" s="1">
        <f t="shared" si="18"/>
      </c>
      <c r="C494" s="1">
        <f t="shared" si="13"/>
      </c>
      <c r="D494" s="13">
        <f t="shared" si="14"/>
      </c>
      <c r="E494" s="13">
        <f t="shared" si="15"/>
      </c>
      <c r="F494" s="13">
        <f t="shared" si="16"/>
      </c>
      <c r="G494" s="129">
        <f>IF(B494="","",ΠINAKEΣ!E142)</f>
      </c>
      <c r="H494" s="140">
        <f t="shared" si="17"/>
      </c>
      <c r="I494" s="166">
        <f t="shared" si="19"/>
      </c>
      <c r="J494" s="142"/>
      <c r="K494" s="6"/>
      <c r="L494" s="7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</row>
    <row r="495" spans="1:65" ht="13.5" customHeight="1">
      <c r="A495" s="1">
        <f>IF(A452&gt;=F14,"",IF(4&lt;$F$14,4,$F$14))</f>
      </c>
      <c r="B495" s="1">
        <f t="shared" si="18"/>
      </c>
      <c r="C495" s="1">
        <f t="shared" si="13"/>
      </c>
      <c r="D495" s="13">
        <f t="shared" si="14"/>
      </c>
      <c r="E495" s="13">
        <f t="shared" si="15"/>
      </c>
      <c r="F495" s="13">
        <f t="shared" si="16"/>
      </c>
      <c r="G495" s="129">
        <f>IF(B495="","",ΠINAKEΣ!E145)</f>
      </c>
      <c r="H495" s="140">
        <f t="shared" si="17"/>
      </c>
      <c r="I495" s="166">
        <f t="shared" si="19"/>
      </c>
      <c r="J495" s="142"/>
      <c r="K495" s="6"/>
      <c r="L495" s="7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</row>
    <row r="496" spans="1:65" ht="13.5" customHeight="1">
      <c r="A496" s="1">
        <f>IF(A453&gt;=F14,"",IF(4.5&lt;$F$14,4.5,$F$14))</f>
      </c>
      <c r="B496" s="1">
        <f t="shared" si="18"/>
      </c>
      <c r="C496" s="1">
        <f t="shared" si="13"/>
      </c>
      <c r="D496" s="13">
        <f t="shared" si="14"/>
      </c>
      <c r="E496" s="13">
        <f t="shared" si="15"/>
      </c>
      <c r="F496" s="13">
        <f t="shared" si="16"/>
      </c>
      <c r="G496" s="129">
        <f>IF(B496="","",ΠINAKEΣ!G136)</f>
      </c>
      <c r="H496" s="140">
        <f t="shared" si="17"/>
      </c>
      <c r="I496" s="166">
        <f t="shared" si="19"/>
      </c>
      <c r="J496" s="5"/>
      <c r="K496" s="6"/>
      <c r="L496" s="7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</row>
    <row r="497" spans="1:65" ht="13.5" customHeight="1">
      <c r="A497" s="1">
        <f>IF(A454&gt;=F14,"",IF(5&lt;$F$14,5,$F$14))</f>
      </c>
      <c r="B497" s="1">
        <f t="shared" si="18"/>
      </c>
      <c r="C497" s="1">
        <f t="shared" si="13"/>
      </c>
      <c r="D497" s="13">
        <f t="shared" si="14"/>
      </c>
      <c r="E497" s="13">
        <f t="shared" si="15"/>
      </c>
      <c r="F497" s="13">
        <f t="shared" si="16"/>
      </c>
      <c r="G497" s="129">
        <f>IF(B497="","",ΠINAKEΣ!G139)</f>
      </c>
      <c r="H497" s="140">
        <f t="shared" si="17"/>
      </c>
      <c r="I497" s="166">
        <f t="shared" si="19"/>
      </c>
      <c r="J497" s="5"/>
      <c r="K497" s="6"/>
      <c r="L497" s="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</row>
    <row r="498" spans="1:65" ht="13.5" customHeight="1">
      <c r="A498" s="1">
        <f>IF(A455&gt;=F14,"",IF(5.5&lt;$F$14,5.5,$F$14))</f>
      </c>
      <c r="B498" s="1">
        <f t="shared" si="18"/>
      </c>
      <c r="C498" s="1">
        <f t="shared" si="13"/>
      </c>
      <c r="D498" s="13">
        <f t="shared" si="14"/>
      </c>
      <c r="E498" s="13">
        <f t="shared" si="15"/>
      </c>
      <c r="F498" s="13">
        <f t="shared" si="16"/>
      </c>
      <c r="G498" s="129">
        <f>IF(B498="","",ΠINAKEΣ!G142)</f>
      </c>
      <c r="H498" s="140">
        <f t="shared" si="17"/>
      </c>
      <c r="I498" s="166">
        <f t="shared" si="19"/>
      </c>
      <c r="J498" s="5"/>
      <c r="K498" s="6"/>
      <c r="L498" s="7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</row>
    <row r="499" spans="1:65" ht="13.5" customHeight="1">
      <c r="A499" s="1">
        <f>IF(A456&gt;=F14,"",IF(6&lt;$F$14,6,$F$14))</f>
      </c>
      <c r="B499" s="1">
        <f t="shared" si="18"/>
      </c>
      <c r="C499" s="1">
        <f>IF(A499="","",D457)</f>
      </c>
      <c r="D499" s="13">
        <f t="shared" si="14"/>
      </c>
      <c r="E499" s="13">
        <f t="shared" si="15"/>
      </c>
      <c r="F499" s="13">
        <f t="shared" si="16"/>
      </c>
      <c r="G499" s="129">
        <f>IF(B499="","",ΠINAKEΣ!G145)</f>
      </c>
      <c r="H499" s="140">
        <f t="shared" si="17"/>
      </c>
      <c r="I499" s="166">
        <f t="shared" si="19"/>
      </c>
      <c r="J499" s="5"/>
      <c r="K499" s="6"/>
      <c r="L499" s="7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</row>
    <row r="500" spans="1:65" ht="13.5" customHeight="1">
      <c r="A500" s="3">
        <f>IF(A457&gt;=F14,"",IF(6.5&lt;$F$14,6.5,$F$14))</f>
      </c>
      <c r="B500" s="1">
        <f t="shared" si="18"/>
      </c>
      <c r="C500" s="1">
        <f>IF(A500="","",-D458)</f>
      </c>
      <c r="D500" s="13">
        <f t="shared" si="14"/>
      </c>
      <c r="E500" s="13">
        <f t="shared" si="15"/>
      </c>
      <c r="F500" s="13">
        <f t="shared" si="16"/>
      </c>
      <c r="G500" s="129">
        <f>IF(B500="","",ΠINAKEΣ!I136)</f>
      </c>
      <c r="H500" s="140">
        <f t="shared" si="17"/>
      </c>
      <c r="I500" s="166">
        <f t="shared" si="19"/>
      </c>
      <c r="J500" s="5"/>
      <c r="K500" s="6"/>
      <c r="L500" s="7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</row>
    <row r="501" spans="1:65" ht="36.75" customHeight="1">
      <c r="A501" s="176" t="s">
        <v>400</v>
      </c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</row>
    <row r="502" spans="1:65" ht="19.5" customHeight="1">
      <c r="A502" s="82" t="s">
        <v>401</v>
      </c>
      <c r="B502" s="10"/>
      <c r="C502" s="10"/>
      <c r="D502" s="10"/>
      <c r="E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</row>
    <row r="503" spans="1:65" ht="13.5" customHeight="1">
      <c r="A503" s="319" t="s">
        <v>484</v>
      </c>
      <c r="B503" s="320"/>
      <c r="C503" s="320"/>
      <c r="D503" s="320"/>
      <c r="E503" s="321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</row>
    <row r="504" spans="1:65" ht="13.5" customHeight="1">
      <c r="A504" s="51" t="s">
        <v>64</v>
      </c>
      <c r="B504" s="19" t="s">
        <v>448</v>
      </c>
      <c r="C504" s="19" t="s">
        <v>411</v>
      </c>
      <c r="D504" s="19" t="s">
        <v>59</v>
      </c>
      <c r="E504" s="19" t="s">
        <v>358</v>
      </c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</row>
    <row r="505" spans="1:65" ht="13.5" customHeight="1">
      <c r="A505" s="52" t="s">
        <v>447</v>
      </c>
      <c r="B505" s="21" t="s">
        <v>447</v>
      </c>
      <c r="C505" s="21" t="s">
        <v>246</v>
      </c>
      <c r="D505" s="21" t="s">
        <v>246</v>
      </c>
      <c r="E505" s="21" t="s">
        <v>424</v>
      </c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</row>
    <row r="506" spans="1:65" ht="13.5" customHeight="1">
      <c r="A506" s="1">
        <v>0</v>
      </c>
      <c r="B506" s="13">
        <f>IF(A506="","",$F$6+$F$7*($F$14-($F$14-A506))/$F$14)</f>
        <v>0.2</v>
      </c>
      <c r="C506" s="71"/>
      <c r="D506" s="71"/>
      <c r="E506" s="71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</row>
    <row r="507" spans="1:65" ht="13.5" customHeight="1">
      <c r="A507" s="1">
        <f>IF(A445&gt;=F14,"",IF(0.5&lt;$F$14,0.5,$F$14))</f>
        <v>0.5</v>
      </c>
      <c r="B507" s="13">
        <f aca="true" t="shared" si="20" ref="B507:B519">IF(A507="","",$F$6+$F$7*($F$14-($F$14-A507))/$F$14)</f>
        <v>0.2169491525423729</v>
      </c>
      <c r="C507" s="13">
        <f aca="true" t="shared" si="21" ref="C507:C519">IF(A507="","",$L$29*$H$121*(A507+$F$10*TAN(RADIANS($L$28)))*(1+$H$158)+($L$30*$H$121*(A507+$F$10*TAN(RADIANS($L$28)))*(1+$H$158)+$G$368)*0.3+$G$367+($F$64*$H$121*(A507+$F$10*TAN(RADIANS($L$28)))^2/2)*(1+$H$158)+((B506+B507)/2*A507*$F$25)*$F$81+$F$64*$F$10*(A507+$F$10*TAN(RADIANS($L$28)))*$F$81)</f>
        <v>6.7462194459603655</v>
      </c>
      <c r="D507" s="13">
        <f aca="true" t="shared" si="22" ref="D507:D519">IF(A507="","",$F$28+A507*($B$445+B507)*0.5*$F$25)</f>
        <v>5.3059322033898315</v>
      </c>
      <c r="E507" s="13">
        <f aca="true" t="shared" si="23" ref="E507:E519">IF(A507="","",$G$367*A507+$G$368*(A507+$F$10*TAN(RADIANS($L$28)))*0.3+(($L$29*$H$121*(A507+$F$10*TAN(RADIANS($L$28)))*(1+$H$158)+$L$30*$H$121*(A507+$F$10*TAN(RADIANS($L$28)))*(1+$H$158)*0.3+((B506+B507)/2*A507*$F$25)*$F$81+$F$64*$F$10*(A507+$F$10*TAN(RADIANS($L$28)))*$F$81))*A507/2+($F$64*$H$121*(A507+$F$10*TAN(RADIANS($L$28)))^2/2*(1+$H$158))*(A507+$F$10*TAN(RADIANS($L$28)))/3-D507*(B507/2-((B506^2+B506*B507+B507^2)/(3*(B506+B507)))))</f>
        <v>1.8808716726315982</v>
      </c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</row>
    <row r="508" spans="1:65" ht="13.5" customHeight="1">
      <c r="A508" s="1">
        <f>IF(A446&gt;=F14,"",IF(1&lt;$F$14,1,$F$14))</f>
        <v>1</v>
      </c>
      <c r="B508" s="13">
        <f t="shared" si="20"/>
        <v>0.2338983050847458</v>
      </c>
      <c r="C508" s="13">
        <f t="shared" si="21"/>
        <v>13.183403132168337</v>
      </c>
      <c r="D508" s="13">
        <f t="shared" si="22"/>
        <v>8.123728813559323</v>
      </c>
      <c r="E508" s="13">
        <f t="shared" si="23"/>
        <v>6.551837980451122</v>
      </c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</row>
    <row r="509" spans="1:65" ht="13.5" customHeight="1">
      <c r="A509" s="1">
        <f>IF(A447&gt;=F14,"",IF(1.5&lt;$F$14,1.5,$F$14))</f>
        <v>1.5</v>
      </c>
      <c r="B509" s="13">
        <f t="shared" si="20"/>
        <v>0.2508474576271187</v>
      </c>
      <c r="C509" s="13">
        <f t="shared" si="21"/>
        <v>21.319820706248063</v>
      </c>
      <c r="D509" s="13">
        <f t="shared" si="22"/>
        <v>11.153389830508477</v>
      </c>
      <c r="E509" s="13">
        <f t="shared" si="23"/>
        <v>14.899197918410795</v>
      </c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</row>
    <row r="510" spans="1:65" ht="13.5" customHeight="1">
      <c r="A510" s="1">
        <f>IF(A448&gt;=F14,"",IF(2&lt;$F$14,2,$F$14))</f>
        <v>2</v>
      </c>
      <c r="B510" s="13">
        <f t="shared" si="20"/>
        <v>0.2677966101694915</v>
      </c>
      <c r="C510" s="13">
        <f t="shared" si="21"/>
        <v>31.155472168199548</v>
      </c>
      <c r="D510" s="13">
        <f t="shared" si="22"/>
        <v>14.39491525423729</v>
      </c>
      <c r="E510" s="13">
        <f t="shared" si="23"/>
        <v>27.789519006416192</v>
      </c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</row>
    <row r="511" spans="1:65" ht="13.5" customHeight="1">
      <c r="A511" s="1">
        <f>IF(A449&gt;=F14,"",IF(2.5&lt;$F$14,2.5,$F$14))</f>
        <v>2.5</v>
      </c>
      <c r="B511" s="13">
        <f t="shared" si="20"/>
        <v>0.2847457627118644</v>
      </c>
      <c r="C511" s="13">
        <f t="shared" si="21"/>
        <v>42.69035751802279</v>
      </c>
      <c r="D511" s="13">
        <f t="shared" si="22"/>
        <v>17.848305084745764</v>
      </c>
      <c r="E511" s="13">
        <f t="shared" si="23"/>
        <v>46.08936841506556</v>
      </c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</row>
    <row r="512" spans="1:65" ht="13.5" customHeight="1">
      <c r="A512" s="1">
        <f>IF(A450&gt;=F14,"",IF(3&lt;$F$14,3,$F$14))</f>
        <v>2.9499999999999997</v>
      </c>
      <c r="B512" s="13">
        <f t="shared" si="20"/>
        <v>0.30000000000000004</v>
      </c>
      <c r="C512" s="13">
        <f t="shared" si="21"/>
        <v>54.53459930699406</v>
      </c>
      <c r="D512" s="13">
        <f t="shared" si="22"/>
        <v>21.1375</v>
      </c>
      <c r="E512" s="13">
        <f t="shared" si="23"/>
        <v>67.92413679430983</v>
      </c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</row>
    <row r="513" spans="1:65" ht="13.5" customHeight="1">
      <c r="A513" s="1">
        <f>IF(A451&gt;=F14,"",IF(3.5&lt;$F$14,3.5,$F$14))</f>
      </c>
      <c r="B513" s="13">
        <f t="shared" si="20"/>
      </c>
      <c r="C513" s="13">
        <f t="shared" si="21"/>
      </c>
      <c r="D513" s="13">
        <f t="shared" si="22"/>
      </c>
      <c r="E513" s="13">
        <f t="shared" si="23"/>
      </c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</row>
    <row r="514" spans="1:65" ht="13.5" customHeight="1">
      <c r="A514" s="1">
        <f>IF(A452&gt;=F14,"",IF(4&lt;$F$14,4,$F$14))</f>
      </c>
      <c r="B514" s="13">
        <f t="shared" si="20"/>
      </c>
      <c r="C514" s="13">
        <f t="shared" si="21"/>
      </c>
      <c r="D514" s="13">
        <f t="shared" si="22"/>
      </c>
      <c r="E514" s="13">
        <f t="shared" si="23"/>
      </c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</row>
    <row r="515" spans="1:65" ht="13.5" customHeight="1">
      <c r="A515" s="1">
        <f>IF(A453&gt;=F14,"",IF(4.5&lt;$F$14,4.5,$F$14))</f>
      </c>
      <c r="B515" s="13">
        <f t="shared" si="20"/>
      </c>
      <c r="C515" s="13">
        <f t="shared" si="21"/>
      </c>
      <c r="D515" s="13">
        <f t="shared" si="22"/>
      </c>
      <c r="E515" s="13">
        <f t="shared" si="23"/>
      </c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</row>
    <row r="516" spans="1:65" ht="13.5" customHeight="1">
      <c r="A516" s="1">
        <f>IF(A454&gt;=F14,"",IF(5&lt;$F$14,5,$F$14))</f>
      </c>
      <c r="B516" s="13">
        <f>IF(A516="","",$F$6+$F$7*($F$14-($F$14-A516))/$F$14)</f>
      </c>
      <c r="C516" s="13">
        <f t="shared" si="21"/>
      </c>
      <c r="D516" s="13">
        <f t="shared" si="22"/>
      </c>
      <c r="E516" s="13">
        <f t="shared" si="23"/>
      </c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</row>
    <row r="517" spans="1:65" ht="13.5" customHeight="1">
      <c r="A517" s="1">
        <f>IF(A455&gt;=F14,"",IF(5.5&lt;$F$14,5.5,$F$14))</f>
      </c>
      <c r="B517" s="13">
        <f t="shared" si="20"/>
      </c>
      <c r="C517" s="13">
        <f t="shared" si="21"/>
      </c>
      <c r="D517" s="13">
        <f t="shared" si="22"/>
      </c>
      <c r="E517" s="13">
        <f t="shared" si="23"/>
      </c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</row>
    <row r="518" spans="1:65" ht="13.5" customHeight="1">
      <c r="A518" s="1">
        <f>IF(A456&gt;=F14,"",IF(6&lt;$F$14,6,$F$14))</f>
      </c>
      <c r="B518" s="13">
        <f t="shared" si="20"/>
      </c>
      <c r="C518" s="13">
        <f t="shared" si="21"/>
      </c>
      <c r="D518" s="13">
        <f t="shared" si="22"/>
      </c>
      <c r="E518" s="13">
        <f t="shared" si="23"/>
      </c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</row>
    <row r="519" spans="1:65" ht="13.5" customHeight="1">
      <c r="A519" s="1">
        <f>IF(A457&gt;=F14,"",IF(6.5&lt;$F$14,6.5,$F$14))</f>
      </c>
      <c r="B519" s="13">
        <f t="shared" si="20"/>
      </c>
      <c r="C519" s="13">
        <f t="shared" si="21"/>
      </c>
      <c r="D519" s="13">
        <f t="shared" si="22"/>
      </c>
      <c r="E519" s="13">
        <f t="shared" si="23"/>
      </c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</row>
    <row r="520" spans="1:65" ht="13.5" customHeight="1">
      <c r="A520" s="126"/>
      <c r="B520" s="127"/>
      <c r="C520" s="126"/>
      <c r="D520" s="126"/>
      <c r="E520" s="126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</row>
    <row r="521" spans="1:65" ht="13.5" customHeight="1">
      <c r="A521" s="126"/>
      <c r="B521" s="127"/>
      <c r="C521" s="126"/>
      <c r="D521" s="126"/>
      <c r="E521" s="126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</row>
    <row r="522" spans="1:65" ht="13.5" customHeight="1">
      <c r="A522" s="126"/>
      <c r="B522" s="127"/>
      <c r="C522" s="126"/>
      <c r="D522" s="126"/>
      <c r="E522" s="126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</row>
    <row r="523" spans="1:65" ht="24.75" customHeight="1">
      <c r="A523" s="352" t="s">
        <v>177</v>
      </c>
      <c r="B523" s="353"/>
      <c r="C523" s="353"/>
      <c r="D523" s="353"/>
      <c r="E523" s="353"/>
      <c r="F523" s="353"/>
      <c r="G523" s="353"/>
      <c r="H523" s="353"/>
      <c r="I523" s="353"/>
      <c r="J523" s="353"/>
      <c r="K523" s="353"/>
      <c r="L523" s="354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</row>
    <row r="524" spans="1:65" ht="13.5" customHeight="1">
      <c r="A524" s="325" t="s">
        <v>433</v>
      </c>
      <c r="B524" s="326"/>
      <c r="C524" s="326"/>
      <c r="D524" s="327"/>
      <c r="E524" s="325" t="s">
        <v>499</v>
      </c>
      <c r="F524" s="326"/>
      <c r="G524" s="326"/>
      <c r="H524" s="327"/>
      <c r="I524" s="328" t="s">
        <v>260</v>
      </c>
      <c r="J524" s="329"/>
      <c r="K524" s="329"/>
      <c r="L524" s="33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</row>
    <row r="525" spans="1:65" ht="13.5" customHeight="1">
      <c r="A525" s="126"/>
      <c r="B525" s="127"/>
      <c r="C525" s="126"/>
      <c r="D525" s="126"/>
      <c r="E525" s="126"/>
      <c r="F525" s="10"/>
      <c r="G525" s="10"/>
      <c r="H525" s="10"/>
      <c r="I525" s="10"/>
      <c r="J525" s="10"/>
      <c r="K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</row>
    <row r="526" spans="13:65" ht="13.5" customHeight="1"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</row>
    <row r="527" spans="13:65" ht="13.5" customHeight="1"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</row>
    <row r="528" spans="13:65" ht="13.5" customHeight="1"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</row>
    <row r="529" spans="13:65" ht="13.5" customHeight="1"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</row>
    <row r="530" spans="13:65" ht="13.5" customHeight="1"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</row>
    <row r="531" spans="13:65" ht="13.5" customHeight="1"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</row>
    <row r="532" spans="13:65" ht="13.5" customHeight="1"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</row>
    <row r="533" spans="13:65" ht="13.5" customHeight="1"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</row>
    <row r="534" spans="13:65" ht="13.5" customHeight="1"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</row>
    <row r="535" spans="13:65" ht="13.5" customHeight="1"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</row>
    <row r="536" spans="13:65" ht="13.5" customHeight="1"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</row>
    <row r="537" spans="13:65" ht="13.5" customHeight="1"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</row>
    <row r="538" spans="13:65" ht="13.5" customHeight="1"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</row>
    <row r="539" spans="13:65" ht="13.5" customHeight="1"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</row>
    <row r="540" spans="13:65" ht="13.5" customHeight="1"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</row>
    <row r="541" spans="13:65" ht="13.5" customHeight="1"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</row>
    <row r="542" spans="13:65" ht="13.5" customHeight="1"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</row>
    <row r="543" spans="13:65" ht="13.5" customHeight="1"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</row>
    <row r="544" spans="13:65" ht="13.5" customHeight="1"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</row>
    <row r="545" spans="13:65" ht="13.5" customHeight="1"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</row>
    <row r="546" spans="13:65" ht="13.5" customHeight="1"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</row>
    <row r="547" spans="13:65" ht="13.5" customHeight="1"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</row>
    <row r="548" spans="13:65" ht="13.5" customHeight="1"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</row>
    <row r="549" spans="1:65" ht="24.75" customHeight="1">
      <c r="A549" s="125" t="s">
        <v>228</v>
      </c>
      <c r="B549" s="10"/>
      <c r="C549" s="10"/>
      <c r="D549" s="10"/>
      <c r="E549" s="10"/>
      <c r="F549" s="10"/>
      <c r="G549" s="10"/>
      <c r="H549" s="10"/>
      <c r="I549" s="10"/>
      <c r="J549" s="8" t="s">
        <v>507</v>
      </c>
      <c r="K549" s="7"/>
      <c r="L549" s="131">
        <f>MIN(1/(1+$F$22/700),0.601*(1+$F$23/D553))*(0.688-0.286*MIN(1/(1+$F$22/700),0.601*(1+$F$23/D553)))</f>
        <v>0.3155714390569721</v>
      </c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</row>
    <row r="550" spans="1:65" ht="13.5" customHeight="1">
      <c r="A550" s="51" t="s">
        <v>64</v>
      </c>
      <c r="B550" s="19" t="s">
        <v>421</v>
      </c>
      <c r="C550" s="19" t="s">
        <v>420</v>
      </c>
      <c r="D550" s="19" t="s">
        <v>419</v>
      </c>
      <c r="E550" s="128" t="s">
        <v>509</v>
      </c>
      <c r="F550" s="19" t="s">
        <v>508</v>
      </c>
      <c r="G550" s="19" t="s">
        <v>65</v>
      </c>
      <c r="H550" s="19" t="s">
        <v>385</v>
      </c>
      <c r="I550" s="19" t="s">
        <v>498</v>
      </c>
      <c r="J550" s="346" t="s">
        <v>218</v>
      </c>
      <c r="K550" s="347"/>
      <c r="L550" s="348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</row>
    <row r="551" spans="1:65" ht="13.5" customHeight="1">
      <c r="A551" s="52" t="s">
        <v>447</v>
      </c>
      <c r="B551" s="21" t="s">
        <v>424</v>
      </c>
      <c r="C551" s="21" t="s">
        <v>246</v>
      </c>
      <c r="D551" s="21" t="s">
        <v>447</v>
      </c>
      <c r="E551" s="130" t="s">
        <v>246</v>
      </c>
      <c r="F551" s="123"/>
      <c r="G551" s="48"/>
      <c r="H551" s="21" t="s">
        <v>497</v>
      </c>
      <c r="I551" s="21" t="s">
        <v>497</v>
      </c>
      <c r="J551" s="349"/>
      <c r="K551" s="350"/>
      <c r="L551" s="3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</row>
    <row r="552" spans="1:65" ht="13.5" customHeight="1">
      <c r="A552" s="3">
        <v>0</v>
      </c>
      <c r="B552" s="21"/>
      <c r="C552" s="21"/>
      <c r="D552" s="21"/>
      <c r="E552" s="122"/>
      <c r="F552" s="122"/>
      <c r="G552" s="123"/>
      <c r="H552" s="122"/>
      <c r="I552" s="11"/>
      <c r="J552" s="142"/>
      <c r="K552" s="6"/>
      <c r="L552" s="7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</row>
    <row r="553" spans="1:65" ht="13.5" customHeight="1">
      <c r="A553" s="1">
        <f>IF(A445&gt;=F14,"",IF(0.5&lt;$F$14,0.5,$F$14))</f>
        <v>0.5</v>
      </c>
      <c r="B553" s="13">
        <f>IF(A553="","",E507)</f>
        <v>1.8808716726315982</v>
      </c>
      <c r="C553" s="13">
        <f aca="true" t="shared" si="24" ref="C553:C563">IF(A553="","",-D507)</f>
        <v>-5.3059322033898315</v>
      </c>
      <c r="D553" s="13">
        <f aca="true" t="shared" si="25" ref="D553:D565">IF(A553="","",(B507-0.03))</f>
        <v>0.1869491525423729</v>
      </c>
      <c r="E553" s="13">
        <f aca="true" t="shared" si="26" ref="E553:E565">IF(B553="","",B553-C553*(B507/2-$F$23))</f>
        <v>2.323782115033207</v>
      </c>
      <c r="F553" s="13">
        <f aca="true" t="shared" si="27" ref="F553:F565">IF(B553="","",E553/(1*D553^2*$F$20*10^3))</f>
        <v>0.00623332368577635</v>
      </c>
      <c r="G553" s="129">
        <f>IF(B488="","",ΠINAKEΣ!L136)</f>
        <v>0.0062956569226341125</v>
      </c>
      <c r="H553" s="140">
        <f aca="true" t="shared" si="28" ref="H553:H565">IF(A553="","",IF(G553&lt;0.001,0,G553*1*100*D553*100*$F$20/$F$22+C553/(0.1*$F$22)))</f>
        <v>0.16671297486156797</v>
      </c>
      <c r="I553" s="167">
        <f>IF(A553="","",2*10*B507)</f>
        <v>4.3389830508474585</v>
      </c>
      <c r="J553" s="76"/>
      <c r="K553" s="15"/>
      <c r="L553" s="16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</row>
    <row r="554" spans="1:65" ht="13.5" customHeight="1">
      <c r="A554" s="1">
        <f>IF(A446&gt;=F14,"",IF(1&lt;$F$14,1,$F$14))</f>
        <v>1</v>
      </c>
      <c r="B554" s="13">
        <f aca="true" t="shared" si="29" ref="B554:B565">E508</f>
        <v>6.551837980451122</v>
      </c>
      <c r="C554" s="13">
        <f t="shared" si="24"/>
        <v>-8.123728813559323</v>
      </c>
      <c r="D554" s="13">
        <f t="shared" si="25"/>
        <v>0.2038983050847458</v>
      </c>
      <c r="E554" s="13">
        <f t="shared" si="26"/>
        <v>7.298807960341958</v>
      </c>
      <c r="F554" s="13">
        <f t="shared" si="27"/>
        <v>0.016458717160464348</v>
      </c>
      <c r="G554" s="129">
        <f>IF(B554="","",ΠINAKEΣ!L139)</f>
        <v>0.01675247867527828</v>
      </c>
      <c r="H554" s="140">
        <f t="shared" si="28"/>
        <v>0.6511643298825307</v>
      </c>
      <c r="I554" s="167">
        <f aca="true" t="shared" si="30" ref="I554:I565">IF(A554="","",2*10*B508)</f>
        <v>4.677966101694916</v>
      </c>
      <c r="J554" s="142"/>
      <c r="K554" s="6"/>
      <c r="L554" s="7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</row>
    <row r="555" spans="1:65" ht="13.5" customHeight="1">
      <c r="A555" s="1">
        <f>IF(A447&gt;=F14,"",IF(1.5&lt;$F$14,1.5,$F$14))</f>
        <v>1.5</v>
      </c>
      <c r="B555" s="13">
        <f t="shared" si="29"/>
        <v>14.899197918410795</v>
      </c>
      <c r="C555" s="13">
        <f t="shared" si="24"/>
        <v>-11.153389830508477</v>
      </c>
      <c r="D555" s="13">
        <f t="shared" si="25"/>
        <v>0.2208474576271187</v>
      </c>
      <c r="E555" s="13">
        <f t="shared" si="26"/>
        <v>16.019262914101688</v>
      </c>
      <c r="F555" s="13">
        <f t="shared" si="27"/>
        <v>0.03079136894446826</v>
      </c>
      <c r="G555" s="129">
        <f>IF(B555="","",ΠINAKEΣ!L142)</f>
        <v>0.031530937391691674</v>
      </c>
      <c r="H555" s="140">
        <f t="shared" si="28"/>
        <v>1.451857412775788</v>
      </c>
      <c r="I555" s="167">
        <f t="shared" si="30"/>
        <v>5.016949152542374</v>
      </c>
      <c r="J555" s="142"/>
      <c r="K555" s="6"/>
      <c r="L555" s="7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</row>
    <row r="556" spans="1:65" ht="13.5" customHeight="1">
      <c r="A556" s="1">
        <f>IF(A448&gt;=F14,"",IF(2&lt;$F$14,2,$F$14))</f>
        <v>2</v>
      </c>
      <c r="B556" s="13">
        <f t="shared" si="29"/>
        <v>27.789519006416192</v>
      </c>
      <c r="C556" s="13">
        <f t="shared" si="24"/>
        <v>-14.39491525423729</v>
      </c>
      <c r="D556" s="13">
        <f t="shared" si="25"/>
        <v>0.23779661016949152</v>
      </c>
      <c r="E556" s="13">
        <f t="shared" si="26"/>
        <v>29.357100879441184</v>
      </c>
      <c r="F556" s="13">
        <f t="shared" si="27"/>
        <v>0.04867131978224614</v>
      </c>
      <c r="G556" s="129">
        <f>IF(B556="","",ΠINAKEΣ!L145)</f>
        <v>0.050391598969180905</v>
      </c>
      <c r="H556" s="140">
        <f t="shared" si="28"/>
        <v>2.6087343631846296</v>
      </c>
      <c r="I556" s="167">
        <f t="shared" si="30"/>
        <v>5.3559322033898304</v>
      </c>
      <c r="J556" s="142"/>
      <c r="K556" s="6"/>
      <c r="L556" s="7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</row>
    <row r="557" spans="1:65" ht="13.5" customHeight="1">
      <c r="A557" s="1">
        <f>IF(A449&gt;=F14,"",IF(2.5&lt;$F$14,2.5,$F$14))</f>
        <v>2.5</v>
      </c>
      <c r="B557" s="13">
        <f t="shared" si="29"/>
        <v>46.08936841506556</v>
      </c>
      <c r="C557" s="13">
        <f t="shared" si="24"/>
        <v>-17.848305084745764</v>
      </c>
      <c r="D557" s="13">
        <f t="shared" si="25"/>
        <v>0.25474576271186444</v>
      </c>
      <c r="E557" s="13">
        <f t="shared" si="26"/>
        <v>48.184275410181904</v>
      </c>
      <c r="F557" s="13">
        <f t="shared" si="27"/>
        <v>0.0696085634381782</v>
      </c>
      <c r="G557" s="129">
        <f>IF(B557="","",ΠINAKEΣ!N136)</f>
        <v>0.0625</v>
      </c>
      <c r="H557" s="140">
        <f t="shared" si="28"/>
        <v>3.495590677966102</v>
      </c>
      <c r="I557" s="167">
        <f t="shared" si="30"/>
        <v>5.694915254237288</v>
      </c>
      <c r="J557" s="142"/>
      <c r="K557" s="6"/>
      <c r="L557" s="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</row>
    <row r="558" spans="1:65" ht="13.5" customHeight="1">
      <c r="A558" s="1">
        <f>IF(A450&gt;=F14,"",IF(3&lt;$F$14,3,$F$14))</f>
        <v>2.9499999999999997</v>
      </c>
      <c r="B558" s="13">
        <f t="shared" si="29"/>
        <v>67.92413679430983</v>
      </c>
      <c r="C558" s="13">
        <f t="shared" si="24"/>
        <v>-21.1375</v>
      </c>
      <c r="D558" s="13">
        <f t="shared" si="25"/>
        <v>0.27</v>
      </c>
      <c r="E558" s="13">
        <f t="shared" si="26"/>
        <v>70.56632429430984</v>
      </c>
      <c r="F558" s="13">
        <f t="shared" si="27"/>
        <v>0.090748873835275</v>
      </c>
      <c r="G558" s="129">
        <f>IF(B558="","",ΠINAKEΣ!N139)</f>
        <v>0.0955</v>
      </c>
      <c r="H558" s="140">
        <f t="shared" si="28"/>
        <v>5.8397575</v>
      </c>
      <c r="I558" s="167">
        <f t="shared" si="30"/>
        <v>6.000000000000001</v>
      </c>
      <c r="J558" s="142"/>
      <c r="K558" s="6"/>
      <c r="L558" s="7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</row>
    <row r="559" spans="1:65" ht="13.5" customHeight="1">
      <c r="A559" s="1">
        <f>IF(A451&gt;=F14,"",IF(3.5&lt;$F$14,3.5,$F$14))</f>
      </c>
      <c r="B559" s="13">
        <f t="shared" si="29"/>
      </c>
      <c r="C559" s="13">
        <f t="shared" si="24"/>
      </c>
      <c r="D559" s="13">
        <f t="shared" si="25"/>
      </c>
      <c r="E559" s="13">
        <f t="shared" si="26"/>
      </c>
      <c r="F559" s="13">
        <f t="shared" si="27"/>
      </c>
      <c r="G559" s="129">
        <f>IF(B559="","",ΠINAKEΣ!N142)</f>
      </c>
      <c r="H559" s="140">
        <f t="shared" si="28"/>
      </c>
      <c r="I559" s="167">
        <f t="shared" si="30"/>
      </c>
      <c r="J559" s="142"/>
      <c r="K559" s="6"/>
      <c r="L559" s="7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</row>
    <row r="560" spans="1:65" ht="13.5" customHeight="1">
      <c r="A560" s="1">
        <f>IF(A452&gt;=F14,"",IF(4&lt;$F$14,4,$F$14))</f>
      </c>
      <c r="B560" s="13">
        <f t="shared" si="29"/>
      </c>
      <c r="C560" s="13">
        <f t="shared" si="24"/>
      </c>
      <c r="D560" s="13">
        <f t="shared" si="25"/>
      </c>
      <c r="E560" s="13">
        <f t="shared" si="26"/>
      </c>
      <c r="F560" s="13">
        <f t="shared" si="27"/>
      </c>
      <c r="G560" s="129">
        <f>IF(B560="","",ΠINAKEΣ!N145)</f>
      </c>
      <c r="H560" s="140">
        <f t="shared" si="28"/>
      </c>
      <c r="I560" s="167">
        <f t="shared" si="30"/>
      </c>
      <c r="J560" s="142"/>
      <c r="K560" s="6"/>
      <c r="L560" s="7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</row>
    <row r="561" spans="1:65" ht="13.5" customHeight="1">
      <c r="A561" s="1">
        <f>IF(A453&gt;=F14,"",IF(4.5&lt;$F$14,4.5,$F$14))</f>
      </c>
      <c r="B561" s="13">
        <f t="shared" si="29"/>
      </c>
      <c r="C561" s="13">
        <f t="shared" si="24"/>
      </c>
      <c r="D561" s="13">
        <f t="shared" si="25"/>
      </c>
      <c r="E561" s="13">
        <f t="shared" si="26"/>
      </c>
      <c r="F561" s="13">
        <f t="shared" si="27"/>
      </c>
      <c r="G561" s="129">
        <f>IF(B561="","",ΠINAKEΣ!P136)</f>
      </c>
      <c r="H561" s="140">
        <f t="shared" si="28"/>
      </c>
      <c r="I561" s="167">
        <f t="shared" si="30"/>
      </c>
      <c r="J561" s="5"/>
      <c r="K561" s="6"/>
      <c r="L561" s="7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</row>
    <row r="562" spans="1:65" ht="13.5" customHeight="1">
      <c r="A562" s="1">
        <f>IF(A454&gt;=F14,"",IF(5&lt;$F$14,5,$F$14))</f>
      </c>
      <c r="B562" s="13">
        <f t="shared" si="29"/>
      </c>
      <c r="C562" s="13">
        <f t="shared" si="24"/>
      </c>
      <c r="D562" s="13">
        <f t="shared" si="25"/>
      </c>
      <c r="E562" s="13">
        <f t="shared" si="26"/>
      </c>
      <c r="F562" s="13">
        <f t="shared" si="27"/>
      </c>
      <c r="G562" s="129">
        <f>IF(B562="","",ΠINAKEΣ!P139)</f>
      </c>
      <c r="H562" s="140">
        <f t="shared" si="28"/>
      </c>
      <c r="I562" s="167">
        <f t="shared" si="30"/>
      </c>
      <c r="J562" s="5"/>
      <c r="K562" s="6"/>
      <c r="L562" s="7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</row>
    <row r="563" spans="1:65" ht="13.5" customHeight="1">
      <c r="A563" s="1">
        <f>IF(A455&gt;=F14,"",IF(5.5&lt;$F$14,5.5,$F$14))</f>
      </c>
      <c r="B563" s="13">
        <f t="shared" si="29"/>
      </c>
      <c r="C563" s="13">
        <f t="shared" si="24"/>
      </c>
      <c r="D563" s="13">
        <f t="shared" si="25"/>
      </c>
      <c r="E563" s="13">
        <f t="shared" si="26"/>
      </c>
      <c r="F563" s="13">
        <f t="shared" si="27"/>
      </c>
      <c r="G563" s="129">
        <f>IF(B563="","",ΠINAKEΣ!P142)</f>
      </c>
      <c r="H563" s="140">
        <f t="shared" si="28"/>
      </c>
      <c r="I563" s="167">
        <f t="shared" si="30"/>
      </c>
      <c r="J563" s="5"/>
      <c r="K563" s="6"/>
      <c r="L563" s="7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</row>
    <row r="564" spans="1:65" ht="13.5" customHeight="1">
      <c r="A564" s="1">
        <f>IF(A456&gt;=F14,"",IF(6&lt;$F$14,6,$F$14))</f>
      </c>
      <c r="B564" s="13">
        <f t="shared" si="29"/>
      </c>
      <c r="C564" s="13">
        <f>IF(A564="","",D518)</f>
      </c>
      <c r="D564" s="13">
        <f t="shared" si="25"/>
      </c>
      <c r="E564" s="13">
        <f t="shared" si="26"/>
      </c>
      <c r="F564" s="13">
        <f t="shared" si="27"/>
      </c>
      <c r="G564" s="129">
        <f>IF(B564="","",ΠINAKEΣ!P145)</f>
      </c>
      <c r="H564" s="140">
        <f t="shared" si="28"/>
      </c>
      <c r="I564" s="167">
        <f t="shared" si="30"/>
      </c>
      <c r="J564" s="5"/>
      <c r="K564" s="6"/>
      <c r="L564" s="7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</row>
    <row r="565" spans="1:65" ht="13.5" customHeight="1">
      <c r="A565" s="1">
        <f>IF(A457&gt;=F14,"",IF(6.5&lt;$F$14,6.5,$F$14))</f>
      </c>
      <c r="B565" s="13">
        <f t="shared" si="29"/>
      </c>
      <c r="C565" s="13">
        <f>IF(A565="","",-D519)</f>
      </c>
      <c r="D565" s="13">
        <f t="shared" si="25"/>
      </c>
      <c r="E565" s="13">
        <f t="shared" si="26"/>
      </c>
      <c r="F565" s="13">
        <f t="shared" si="27"/>
      </c>
      <c r="G565" s="129">
        <f>IF(B565="","",ΠINAKEΣ!R136)</f>
      </c>
      <c r="H565" s="140">
        <f t="shared" si="28"/>
      </c>
      <c r="I565" s="167">
        <f t="shared" si="30"/>
      </c>
      <c r="J565" s="5"/>
      <c r="K565" s="6"/>
      <c r="L565" s="7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</row>
    <row r="566" spans="13:65" ht="13.5" customHeight="1"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</row>
    <row r="567" spans="1:65" ht="21" customHeight="1">
      <c r="A567" s="121" t="s">
        <v>316</v>
      </c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</row>
    <row r="568" spans="1:65" ht="13.5" customHeight="1">
      <c r="A568" s="42" t="s">
        <v>249</v>
      </c>
      <c r="B568" s="18"/>
      <c r="C568" s="18"/>
      <c r="D568" s="18"/>
      <c r="E568" s="18"/>
      <c r="F568" s="212">
        <f>MAX(H553:H565,I553:I565)</f>
        <v>6.000000000000001</v>
      </c>
      <c r="G568" s="216" t="s">
        <v>251</v>
      </c>
      <c r="H568" s="17" t="s">
        <v>108</v>
      </c>
      <c r="I568" s="18"/>
      <c r="J568" s="227" t="str">
        <f>IF(AND(F568&gt;15,F568&lt;=17),"Φ 18/15",IF(AND(F568&gt;13,F568&lt;=15),"Φ 18/17",IF(AND(F568&gt;11,F568&lt;=13),"Φ 16/15",IF(AND(F568&gt;9,F568&lt;=11),"Φ 14/14",IF(AND(F568&gt;7,F568&lt;=9),"Φ 12/12.5",IF(AND(F568&gt;5,F568&lt;=7),"Φ 12/16",IF(AND(F568&gt;3,F568&lt;=5),"Φ 10/15","Φ10/25")))))))</f>
        <v>Φ 12/16</v>
      </c>
      <c r="K568" s="212" t="str">
        <f>IF(J568="Φ 18/15","(16.97)",IF(J568="Φ 18/17","(14.97)",IF(J568="Φ 16/15","(13.41)",IF(J568="Φ 14/14","(11.00)",IF(J568="Φ 12/12.5","(9.05)",IF(J568="Φ 12/16","(7.07)",IF(J568="Φ 10/15","(5.24)","(3.1)")))))))</f>
        <v>(7.07)</v>
      </c>
      <c r="L568" s="14" t="s">
        <v>107</v>
      </c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</row>
    <row r="569" spans="1:65" ht="13.5" customHeight="1">
      <c r="A569" s="12" t="s">
        <v>250</v>
      </c>
      <c r="B569" s="6"/>
      <c r="C569" s="6"/>
      <c r="D569" s="6"/>
      <c r="E569" s="6"/>
      <c r="F569" s="213">
        <f>MAX(H553:H565,I553:I565)</f>
        <v>6.000000000000001</v>
      </c>
      <c r="G569" s="158" t="s">
        <v>251</v>
      </c>
      <c r="H569" s="17" t="s">
        <v>108</v>
      </c>
      <c r="I569" s="18"/>
      <c r="J569" s="227" t="str">
        <f>IF(AND(F568&gt;15,F568&lt;=17),"Φ 18/15",IF(AND(F568&gt;13,F568&lt;=15),"Φ 18/17",IF(AND(F568&gt;11,F568&lt;=13),"Φ 16/15",IF(AND(F568&gt;9,F568&lt;=11),"Φ 14/14",IF(AND(F568&gt;7,F568&lt;=9),"Φ 12/12.5",IF(AND(F568&gt;5,F568&lt;=7),"Φ 12/16",IF(AND(F568&gt;3,F568&lt;=5),"Φ 10/15","Φ10/25")))))))</f>
        <v>Φ 12/16</v>
      </c>
      <c r="K569" s="217" t="str">
        <f>IF(J568="Φ 18/15","(16.97)",IF(J568="Φ 18/17","(14.97)",IF(J568="Φ 16/15","(13.41)",IF(J568="Φ 14/14","(11.00)",IF(J568="Φ 12/12.5","(9.05)",IF(J568="Φ 12/16","(7.07)",IF(J568="Φ 10/15","(5.24)","(3.1)")))))))</f>
        <v>(7.07)</v>
      </c>
      <c r="L569" s="14" t="s">
        <v>107</v>
      </c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</row>
    <row r="570" spans="1:65" ht="13.5" customHeight="1">
      <c r="A570" s="12" t="s">
        <v>84</v>
      </c>
      <c r="B570" s="6"/>
      <c r="C570" s="6"/>
      <c r="D570" s="6"/>
      <c r="E570" s="6"/>
      <c r="F570" s="6"/>
      <c r="G570" s="158"/>
      <c r="H570" s="17" t="s">
        <v>108</v>
      </c>
      <c r="I570" s="18"/>
      <c r="J570" s="227" t="s">
        <v>252</v>
      </c>
      <c r="K570" s="217" t="str">
        <f>"(4.00)"</f>
        <v>(4.00)</v>
      </c>
      <c r="L570" s="14" t="s">
        <v>107</v>
      </c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</row>
    <row r="571" spans="1:65" ht="13.5" customHeight="1">
      <c r="A571" s="12" t="s">
        <v>83</v>
      </c>
      <c r="B571" s="6"/>
      <c r="C571" s="6"/>
      <c r="D571" s="6"/>
      <c r="E571" s="6"/>
      <c r="F571" s="6"/>
      <c r="G571" s="158"/>
      <c r="H571" s="5" t="s">
        <v>108</v>
      </c>
      <c r="I571" s="6"/>
      <c r="J571" s="228" t="s">
        <v>252</v>
      </c>
      <c r="K571" s="206" t="str">
        <f>"(4.00)"</f>
        <v>(4.00)</v>
      </c>
      <c r="L571" s="7" t="s">
        <v>107</v>
      </c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</row>
    <row r="572" spans="13:65" ht="13.5" customHeight="1"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</row>
    <row r="573" spans="1:65" ht="24.75" customHeight="1">
      <c r="A573" s="125" t="s">
        <v>278</v>
      </c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</row>
    <row r="574" spans="1:65" ht="12" customHeight="1">
      <c r="A574" s="155" t="s">
        <v>402</v>
      </c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</row>
    <row r="575" spans="1:65" ht="12" customHeight="1">
      <c r="A575" s="155" t="s">
        <v>205</v>
      </c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</row>
    <row r="576" spans="1:65" ht="12" customHeight="1">
      <c r="A576" s="155" t="s">
        <v>206</v>
      </c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</row>
    <row r="577" spans="1:65" ht="15" customHeight="1">
      <c r="A577" s="43" t="s">
        <v>279</v>
      </c>
      <c r="B577" s="14"/>
      <c r="C577" s="80">
        <f>MAX(C446:C458)</f>
        <v>42.14116797492324</v>
      </c>
      <c r="D577" s="7" t="s">
        <v>53</v>
      </c>
      <c r="I577" s="25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</row>
    <row r="578" spans="1:65" ht="13.5" customHeight="1">
      <c r="A578" s="5" t="s">
        <v>152</v>
      </c>
      <c r="B578" s="7"/>
      <c r="C578" s="80">
        <f>MAX(C507:C519)</f>
        <v>54.53459930699406</v>
      </c>
      <c r="D578" s="7" t="s">
        <v>53</v>
      </c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</row>
    <row r="579" spans="1:65" ht="13.5" customHeight="1">
      <c r="A579" s="5" t="s">
        <v>420</v>
      </c>
      <c r="B579" s="6"/>
      <c r="C579" s="80">
        <f>MAX(D507:D519)</f>
        <v>21.1375</v>
      </c>
      <c r="D579" s="7" t="s">
        <v>53</v>
      </c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</row>
    <row r="580" spans="1:65" ht="13.5" customHeight="1">
      <c r="A580" s="5" t="s">
        <v>331</v>
      </c>
      <c r="B580" s="6"/>
      <c r="C580" s="117"/>
      <c r="D580" s="7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</row>
    <row r="581" spans="1:65" ht="13.5" customHeight="1">
      <c r="A581" s="43" t="s">
        <v>37</v>
      </c>
      <c r="B581" s="18"/>
      <c r="C581" s="152">
        <v>0.3</v>
      </c>
      <c r="D581" s="14" t="s">
        <v>378</v>
      </c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</row>
    <row r="582" spans="1:65" ht="13.5" customHeight="1">
      <c r="A582" s="43" t="s">
        <v>27</v>
      </c>
      <c r="B582" s="18"/>
      <c r="C582" s="79">
        <v>1</v>
      </c>
      <c r="D582" s="7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</row>
    <row r="583" spans="1:65" ht="13.5" customHeight="1">
      <c r="A583" s="163" t="s">
        <v>6</v>
      </c>
      <c r="B583" s="7"/>
      <c r="C583" s="153">
        <f>0.0001*MAX(H553:I565)/(1*MAX(D553:D565))</f>
        <v>0.0022222222222222227</v>
      </c>
      <c r="D583" s="7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</row>
    <row r="584" spans="1:65" ht="13.5" customHeight="1">
      <c r="A584" s="5" t="s">
        <v>188</v>
      </c>
      <c r="B584" s="7"/>
      <c r="C584" s="153">
        <f>0.001*C579/(1*MAX(B507:B519))</f>
        <v>0.07045833333333332</v>
      </c>
      <c r="D584" s="7" t="s">
        <v>378</v>
      </c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</row>
    <row r="585" spans="1:65" ht="13.5" customHeight="1">
      <c r="A585" s="5" t="s">
        <v>189</v>
      </c>
      <c r="B585" s="7"/>
      <c r="C585" s="80">
        <f>(C581*C582*(1.2+40*C583)+0.15*C584)*MAX(D553:D565)*1*1000</f>
        <v>107.2535625</v>
      </c>
      <c r="D585" s="7" t="s">
        <v>53</v>
      </c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</row>
    <row r="586" spans="1:65" ht="16.5" customHeight="1">
      <c r="A586" s="94" t="s">
        <v>40</v>
      </c>
      <c r="B586" s="111"/>
      <c r="C586" s="111"/>
      <c r="D586" s="111"/>
      <c r="E586" s="107" t="str">
        <f>IF(C578&lt;=C585,"EΛEΓXOΣ KOPMOY ΣE ΔIATMHΣH ENTAΞEI  ( αφού Vsd &lt; Vrd1 )","***  AΛΛAΓH ΔIATOMHΣ  ***   ( αφού Vsd &gt; Vrd1 )")</f>
        <v>EΛEΓXOΣ KOPMOY ΣE ΔIATMHΣH ENTAΞEI  ( αφού Vsd &lt; Vrd1 )</v>
      </c>
      <c r="F586" s="111"/>
      <c r="G586" s="111"/>
      <c r="H586" s="111"/>
      <c r="I586" s="111"/>
      <c r="J586" s="111"/>
      <c r="K586" s="111"/>
      <c r="L586" s="102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</row>
    <row r="587" spans="13:65" ht="13.5" customHeight="1"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</row>
    <row r="588" spans="1:65" ht="13.5" customHeight="1">
      <c r="A588" s="121" t="s">
        <v>229</v>
      </c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</row>
    <row r="589" spans="13:65" ht="13.5" customHeight="1"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</row>
    <row r="590" spans="1:65" ht="19.5" customHeight="1">
      <c r="A590" s="214" t="s">
        <v>117</v>
      </c>
      <c r="B590" s="18"/>
      <c r="C590" s="18"/>
      <c r="D590" s="18"/>
      <c r="E590" s="6"/>
      <c r="F590" s="6"/>
      <c r="G590" s="7"/>
      <c r="H590" s="50" t="s">
        <v>241</v>
      </c>
      <c r="I590" s="63">
        <f>F9+F8</f>
        <v>0.8</v>
      </c>
      <c r="J590" s="71" t="s">
        <v>153</v>
      </c>
      <c r="K590" s="50" t="s">
        <v>241</v>
      </c>
      <c r="L590" s="63">
        <f>F8</f>
        <v>0.30000000000000004</v>
      </c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</row>
    <row r="591" spans="1:65" ht="13.5" customHeight="1">
      <c r="A591" s="17" t="s">
        <v>407</v>
      </c>
      <c r="B591" s="18"/>
      <c r="C591" s="18"/>
      <c r="D591" s="14"/>
      <c r="E591" s="36" t="s">
        <v>172</v>
      </c>
      <c r="F591" s="67">
        <f>F297</f>
        <v>181.2310371337036</v>
      </c>
      <c r="G591" s="7" t="s">
        <v>53</v>
      </c>
      <c r="H591" s="5" t="s">
        <v>431</v>
      </c>
      <c r="I591" s="6"/>
      <c r="J591" s="6"/>
      <c r="K591" s="6"/>
      <c r="L591" s="7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</row>
    <row r="592" spans="1:65" ht="13.5" customHeight="1">
      <c r="A592" s="26" t="s">
        <v>449</v>
      </c>
      <c r="B592" s="25"/>
      <c r="C592" s="25"/>
      <c r="D592" s="27"/>
      <c r="E592" s="36" t="s">
        <v>171</v>
      </c>
      <c r="F592" s="67">
        <f>F299</f>
        <v>25.114543409163932</v>
      </c>
      <c r="G592" s="7" t="s">
        <v>167</v>
      </c>
      <c r="H592" s="17"/>
      <c r="I592" s="18"/>
      <c r="J592" s="18"/>
      <c r="K592" s="18"/>
      <c r="L592" s="14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</row>
    <row r="593" spans="1:65" ht="13.5" customHeight="1">
      <c r="A593" s="26" t="s">
        <v>94</v>
      </c>
      <c r="B593" s="25"/>
      <c r="C593" s="25"/>
      <c r="D593" s="27"/>
      <c r="E593" s="116" t="s">
        <v>240</v>
      </c>
      <c r="F593" s="67">
        <f>F301</f>
        <v>0.10167391485692225</v>
      </c>
      <c r="G593" s="7" t="s">
        <v>378</v>
      </c>
      <c r="H593" s="26"/>
      <c r="I593" s="25"/>
      <c r="J593" s="25"/>
      <c r="K593" s="25"/>
      <c r="L593" s="27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</row>
    <row r="594" spans="1:65" ht="13.5" customHeight="1">
      <c r="A594" s="26" t="s">
        <v>169</v>
      </c>
      <c r="B594" s="25"/>
      <c r="C594" s="25"/>
      <c r="D594" s="27"/>
      <c r="E594" s="117" t="s">
        <v>239</v>
      </c>
      <c r="F594" s="67">
        <f>F302-((F302-F301)*(F8+F10))/F15</f>
        <v>0.09077350539113929</v>
      </c>
      <c r="G594" s="7" t="s">
        <v>378</v>
      </c>
      <c r="H594" s="26"/>
      <c r="I594" s="25"/>
      <c r="J594" s="25"/>
      <c r="K594" s="25"/>
      <c r="L594" s="27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</row>
    <row r="595" spans="1:65" ht="13.5" customHeight="1">
      <c r="A595" s="26" t="s">
        <v>170</v>
      </c>
      <c r="B595" s="25"/>
      <c r="C595" s="25"/>
      <c r="D595" s="27"/>
      <c r="E595" s="117" t="s">
        <v>89</v>
      </c>
      <c r="F595" s="115">
        <f>F9</f>
        <v>0.5</v>
      </c>
      <c r="G595" s="14" t="s">
        <v>342</v>
      </c>
      <c r="H595" s="26"/>
      <c r="I595" s="25"/>
      <c r="J595" s="25"/>
      <c r="K595" s="25"/>
      <c r="L595" s="27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</row>
    <row r="596" spans="1:65" ht="13.5" customHeight="1">
      <c r="A596" s="26" t="s">
        <v>90</v>
      </c>
      <c r="B596" s="25"/>
      <c r="C596" s="25"/>
      <c r="D596" s="27"/>
      <c r="E596" s="117" t="s">
        <v>91</v>
      </c>
      <c r="F596" s="67">
        <f>IF(F9=0,0,IF(F595=0,0,((F11+F13)/2*F9*F25/F9+F12*F9/2*L65/F9)/1000+((L63-F13)*F9*L65/F9)/1000))</f>
        <v>0.0165</v>
      </c>
      <c r="G596" s="7" t="s">
        <v>378</v>
      </c>
      <c r="H596" s="26"/>
      <c r="I596" s="25"/>
      <c r="J596" s="25"/>
      <c r="K596" s="25"/>
      <c r="L596" s="27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</row>
    <row r="597" spans="1:65" ht="13.5" customHeight="1">
      <c r="A597" s="26" t="s">
        <v>207</v>
      </c>
      <c r="B597" s="25"/>
      <c r="C597" s="25"/>
      <c r="D597" s="27"/>
      <c r="E597" s="36" t="s">
        <v>363</v>
      </c>
      <c r="F597" s="156">
        <f>IF(F9=0,0,(F595^2*(2*F593+F594)/6-F596*F595^2/2)*1000)</f>
        <v>10.192555629374324</v>
      </c>
      <c r="G597" s="7" t="s">
        <v>167</v>
      </c>
      <c r="H597" s="26"/>
      <c r="I597" s="25"/>
      <c r="J597" s="25"/>
      <c r="K597" s="25"/>
      <c r="L597" s="2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</row>
    <row r="598" spans="1:65" ht="13.5" customHeight="1">
      <c r="A598" s="26" t="s">
        <v>208</v>
      </c>
      <c r="B598" s="25"/>
      <c r="C598" s="25"/>
      <c r="D598" s="27"/>
      <c r="E598" s="36" t="s">
        <v>92</v>
      </c>
      <c r="F598" s="67">
        <f>IF(F9=0,0,(0.5*F593*F595*(2*(F595/F595)-(F595/F595)^2)+0.5*F594*F595*(F595/F595)^2-F596*F595)*1000)</f>
        <v>39.86185506201539</v>
      </c>
      <c r="G598" s="7" t="s">
        <v>337</v>
      </c>
      <c r="H598" s="26"/>
      <c r="I598" s="25"/>
      <c r="J598" s="25"/>
      <c r="K598" s="25"/>
      <c r="L598" s="27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</row>
    <row r="599" spans="1:65" ht="13.5" customHeight="1">
      <c r="A599" s="26" t="s">
        <v>245</v>
      </c>
      <c r="B599" s="25"/>
      <c r="C599" s="25"/>
      <c r="D599" s="27"/>
      <c r="E599" s="36" t="s">
        <v>93</v>
      </c>
      <c r="F599" s="67">
        <f>IF(F9=0,0,F13-F24)</f>
        <v>0.27499999999999997</v>
      </c>
      <c r="G599" s="7" t="s">
        <v>342</v>
      </c>
      <c r="H599" s="26"/>
      <c r="I599" s="25"/>
      <c r="J599" s="25"/>
      <c r="K599" s="25"/>
      <c r="L599" s="27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</row>
    <row r="600" spans="1:65" ht="13.5" customHeight="1">
      <c r="A600" s="26" t="s">
        <v>306</v>
      </c>
      <c r="B600" s="25"/>
      <c r="C600" s="25"/>
      <c r="D600" s="27"/>
      <c r="E600" s="36" t="s">
        <v>279</v>
      </c>
      <c r="F600" s="67">
        <f>IF(F9=0,0,(0.5*F593*F595*(2*((F595-F599)/F595)-((F595-F599)/F595)^2)+0.5*F594*F595*((F595-F599)/F595)^2-F596*(F595-F599))*1000)</f>
        <v>18.612297613602244</v>
      </c>
      <c r="G600" s="7" t="s">
        <v>337</v>
      </c>
      <c r="H600" s="26"/>
      <c r="I600" s="25"/>
      <c r="J600" s="25"/>
      <c r="K600" s="25"/>
      <c r="L600" s="27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</row>
    <row r="601" spans="1:65" ht="13.5" customHeight="1">
      <c r="A601" s="20" t="s">
        <v>209</v>
      </c>
      <c r="B601" s="15"/>
      <c r="C601" s="15"/>
      <c r="D601" s="16"/>
      <c r="E601" s="36" t="s">
        <v>232</v>
      </c>
      <c r="F601" s="159">
        <f>F597</f>
        <v>10.192555629374324</v>
      </c>
      <c r="G601" s="7" t="s">
        <v>167</v>
      </c>
      <c r="H601" s="20"/>
      <c r="I601" s="15"/>
      <c r="J601" s="15"/>
      <c r="K601" s="15"/>
      <c r="L601" s="16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</row>
    <row r="602" spans="1:65" ht="13.5" customHeight="1">
      <c r="A602" s="25"/>
      <c r="B602" s="25"/>
      <c r="C602" s="25"/>
      <c r="D602" s="25"/>
      <c r="E602" s="37"/>
      <c r="F602" s="178"/>
      <c r="G602" s="25"/>
      <c r="H602" s="25"/>
      <c r="I602" s="25"/>
      <c r="J602" s="25"/>
      <c r="K602" s="25"/>
      <c r="L602" s="25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</row>
    <row r="603" spans="1:65" ht="13.5" customHeight="1">
      <c r="A603" s="25"/>
      <c r="B603" s="25"/>
      <c r="C603" s="25"/>
      <c r="D603" s="25"/>
      <c r="E603" s="37"/>
      <c r="F603" s="170"/>
      <c r="G603" s="25"/>
      <c r="H603" s="25"/>
      <c r="I603" s="25"/>
      <c r="J603" s="25"/>
      <c r="K603" s="25"/>
      <c r="L603" s="25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</row>
    <row r="604" spans="1:65" ht="19.5" customHeight="1">
      <c r="A604" s="215" t="s">
        <v>118</v>
      </c>
      <c r="B604" s="6"/>
      <c r="C604" s="6"/>
      <c r="D604" s="6"/>
      <c r="E604" s="6"/>
      <c r="F604" s="6"/>
      <c r="G604" s="7"/>
      <c r="H604" s="50" t="s">
        <v>241</v>
      </c>
      <c r="I604" s="63">
        <f>-F10</f>
        <v>-1.6</v>
      </c>
      <c r="J604" s="71" t="s">
        <v>153</v>
      </c>
      <c r="K604" s="50" t="s">
        <v>241</v>
      </c>
      <c r="L604" s="63">
        <f>F16</f>
        <v>0</v>
      </c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</row>
    <row r="605" spans="1:65" ht="13.5" customHeight="1">
      <c r="A605" s="17" t="s">
        <v>407</v>
      </c>
      <c r="B605" s="18"/>
      <c r="C605" s="18"/>
      <c r="D605" s="14"/>
      <c r="E605" s="36" t="s">
        <v>172</v>
      </c>
      <c r="F605" s="67">
        <f>F297</f>
        <v>181.2310371337036</v>
      </c>
      <c r="G605" s="7" t="s">
        <v>53</v>
      </c>
      <c r="H605" s="5" t="s">
        <v>79</v>
      </c>
      <c r="I605" s="6"/>
      <c r="J605" s="6"/>
      <c r="K605" s="6"/>
      <c r="L605" s="7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</row>
    <row r="606" spans="1:65" ht="13.5" customHeight="1">
      <c r="A606" s="26" t="s">
        <v>449</v>
      </c>
      <c r="B606" s="25"/>
      <c r="C606" s="25"/>
      <c r="D606" s="27"/>
      <c r="E606" s="36" t="s">
        <v>171</v>
      </c>
      <c r="F606" s="115">
        <f>F299</f>
        <v>25.114543409163932</v>
      </c>
      <c r="G606" s="7" t="s">
        <v>167</v>
      </c>
      <c r="H606" s="26"/>
      <c r="I606" s="25"/>
      <c r="J606" s="25"/>
      <c r="K606" s="25"/>
      <c r="L606" s="27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</row>
    <row r="607" spans="1:65" ht="13.5" customHeight="1">
      <c r="A607" s="26" t="s">
        <v>94</v>
      </c>
      <c r="B607" s="25"/>
      <c r="C607" s="25"/>
      <c r="D607" s="27"/>
      <c r="E607" s="116" t="s">
        <v>240</v>
      </c>
      <c r="F607" s="67">
        <f>F302-(F302-F301)*F10/F15</f>
        <v>0.0842332597116695</v>
      </c>
      <c r="G607" s="7" t="s">
        <v>378</v>
      </c>
      <c r="H607" s="26"/>
      <c r="I607" s="25"/>
      <c r="J607" s="25"/>
      <c r="K607" s="25"/>
      <c r="L607" s="2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</row>
    <row r="608" spans="1:65" ht="13.5" customHeight="1">
      <c r="A608" s="26" t="s">
        <v>169</v>
      </c>
      <c r="B608" s="25"/>
      <c r="C608" s="25"/>
      <c r="D608" s="27"/>
      <c r="E608" s="117" t="s">
        <v>239</v>
      </c>
      <c r="F608" s="67">
        <f>F302</f>
        <v>0.04935194942116407</v>
      </c>
      <c r="G608" s="7" t="s">
        <v>378</v>
      </c>
      <c r="H608" s="26"/>
      <c r="I608" s="25"/>
      <c r="J608" s="25"/>
      <c r="K608" s="25"/>
      <c r="L608" s="27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</row>
    <row r="609" spans="1:65" ht="13.5" customHeight="1">
      <c r="A609" s="26" t="s">
        <v>170</v>
      </c>
      <c r="B609" s="25"/>
      <c r="C609" s="25"/>
      <c r="D609" s="27"/>
      <c r="E609" s="117" t="s">
        <v>89</v>
      </c>
      <c r="F609" s="67">
        <f>IF(F300&lt;=H300,F10,H302-F9-F8)</f>
        <v>1.6</v>
      </c>
      <c r="G609" s="14" t="s">
        <v>342</v>
      </c>
      <c r="H609" s="26"/>
      <c r="I609" s="25"/>
      <c r="J609" s="25"/>
      <c r="K609" s="25"/>
      <c r="L609" s="27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</row>
    <row r="610" spans="1:65" ht="13.5" customHeight="1">
      <c r="A610" s="26" t="s">
        <v>90</v>
      </c>
      <c r="B610" s="25"/>
      <c r="C610" s="25"/>
      <c r="D610" s="27"/>
      <c r="E610" s="117" t="s">
        <v>91</v>
      </c>
      <c r="F610" s="67">
        <f>((F13+F11)/2*F609*F25/F609+F12*F609/2*F64/F609+F609*(F14+F10*TAN(RADIANS(L28)))*F64/F609)/1000</f>
        <v>0.06452700197565148</v>
      </c>
      <c r="G610" s="7" t="s">
        <v>378</v>
      </c>
      <c r="H610" s="26"/>
      <c r="I610" s="25"/>
      <c r="J610" s="25"/>
      <c r="K610" s="25"/>
      <c r="L610" s="27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</row>
    <row r="611" spans="1:65" ht="13.5" customHeight="1">
      <c r="A611" s="26" t="s">
        <v>207</v>
      </c>
      <c r="B611" s="25"/>
      <c r="C611" s="25"/>
      <c r="D611" s="27"/>
      <c r="E611" s="36" t="s">
        <v>363</v>
      </c>
      <c r="F611" s="67">
        <f>(F609^2*(2*F608+F607)/6-F610*F609^2/2)*1000</f>
        <v>-4.541374879128229</v>
      </c>
      <c r="G611" s="7" t="s">
        <v>167</v>
      </c>
      <c r="H611" s="26"/>
      <c r="I611" s="25"/>
      <c r="J611" s="25"/>
      <c r="K611" s="25"/>
      <c r="L611" s="27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</row>
    <row r="612" spans="1:65" ht="13.5" customHeight="1">
      <c r="A612" s="26" t="s">
        <v>208</v>
      </c>
      <c r="B612" s="25"/>
      <c r="C612" s="25"/>
      <c r="D612" s="27"/>
      <c r="E612" s="36" t="s">
        <v>92</v>
      </c>
      <c r="F612" s="67">
        <f>(0.5*F608*F609*(2*(F609/F609)-(F609/F609)^2)+0.5*F607*F609*(F609/F609)^2-F610*F609)*1000</f>
        <v>3.6249641452244936</v>
      </c>
      <c r="G612" s="7" t="s">
        <v>337</v>
      </c>
      <c r="H612" s="26"/>
      <c r="I612" s="25"/>
      <c r="J612" s="25"/>
      <c r="K612" s="25"/>
      <c r="L612" s="27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</row>
    <row r="613" spans="1:65" ht="13.5" customHeight="1">
      <c r="A613" s="26" t="s">
        <v>245</v>
      </c>
      <c r="B613" s="25"/>
      <c r="C613" s="25"/>
      <c r="D613" s="27"/>
      <c r="E613" s="36" t="s">
        <v>93</v>
      </c>
      <c r="F613" s="67">
        <f>F13-F24</f>
        <v>0.27499999999999997</v>
      </c>
      <c r="G613" s="7" t="s">
        <v>342</v>
      </c>
      <c r="H613" s="26"/>
      <c r="I613" s="25"/>
      <c r="J613" s="25"/>
      <c r="K613" s="25"/>
      <c r="L613" s="27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</row>
    <row r="614" spans="1:65" ht="13.5" customHeight="1">
      <c r="A614" s="26" t="s">
        <v>483</v>
      </c>
      <c r="B614" s="25"/>
      <c r="C614" s="25"/>
      <c r="D614" s="27"/>
      <c r="E614" s="36" t="s">
        <v>279</v>
      </c>
      <c r="F614" s="67">
        <f>(0.5*F608*F609*(2*((F609-F613)/F609)-((F609-F613)/F609)^2)+0.5*F607*F609*((F609-F613)/F609)^2-F610*(F609-F613))*1000</f>
        <v>-0.9699132663306131</v>
      </c>
      <c r="G614" s="7" t="s">
        <v>337</v>
      </c>
      <c r="H614" s="26"/>
      <c r="I614" s="25"/>
      <c r="J614" s="25"/>
      <c r="K614" s="25"/>
      <c r="L614" s="27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</row>
    <row r="615" spans="1:65" ht="13.5" customHeight="1">
      <c r="A615" s="20" t="s">
        <v>209</v>
      </c>
      <c r="B615" s="15"/>
      <c r="C615" s="15"/>
      <c r="D615" s="16"/>
      <c r="E615" s="36" t="s">
        <v>232</v>
      </c>
      <c r="F615" s="159">
        <f>F611</f>
        <v>-4.541374879128229</v>
      </c>
      <c r="G615" s="7" t="s">
        <v>167</v>
      </c>
      <c r="H615" s="26"/>
      <c r="I615" s="25"/>
      <c r="J615" s="25"/>
      <c r="K615" s="25"/>
      <c r="L615" s="27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</row>
    <row r="616" spans="1:65" ht="13.5" customHeight="1">
      <c r="A616" s="25"/>
      <c r="B616" s="25"/>
      <c r="C616" s="25"/>
      <c r="D616" s="25"/>
      <c r="E616" s="37"/>
      <c r="F616"/>
      <c r="G616"/>
      <c r="H616" s="25"/>
      <c r="I616" s="25"/>
      <c r="J616" s="25"/>
      <c r="K616" s="25"/>
      <c r="L616" s="25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</row>
    <row r="617" spans="1:65" ht="13.5" customHeight="1">
      <c r="A617" s="25"/>
      <c r="B617" s="25"/>
      <c r="C617" s="25"/>
      <c r="D617" s="25"/>
      <c r="E617" s="37"/>
      <c r="F617" s="170"/>
      <c r="G617" s="25"/>
      <c r="H617" s="25"/>
      <c r="I617" s="25"/>
      <c r="J617" s="25"/>
      <c r="K617" s="25"/>
      <c r="L617" s="25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</row>
    <row r="618" spans="1:65" ht="13.5" customHeight="1">
      <c r="A618" s="25"/>
      <c r="B618" s="25"/>
      <c r="C618" s="25"/>
      <c r="D618" s="25"/>
      <c r="E618" s="37"/>
      <c r="F618" s="170"/>
      <c r="G618" s="25"/>
      <c r="H618" s="25"/>
      <c r="I618" s="25"/>
      <c r="J618" s="25"/>
      <c r="K618" s="25"/>
      <c r="L618" s="25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</row>
    <row r="619" spans="1:65" ht="19.5" customHeight="1">
      <c r="A619" s="215" t="s">
        <v>365</v>
      </c>
      <c r="B619" s="6"/>
      <c r="C619" s="6"/>
      <c r="D619" s="6"/>
      <c r="E619" s="6"/>
      <c r="F619" s="6"/>
      <c r="G619" s="7"/>
      <c r="H619" s="50" t="s">
        <v>241</v>
      </c>
      <c r="I619" s="63">
        <f>F9+F8</f>
        <v>0.8</v>
      </c>
      <c r="J619" s="71" t="s">
        <v>153</v>
      </c>
      <c r="K619" s="50" t="s">
        <v>241</v>
      </c>
      <c r="L619" s="63">
        <f>F8</f>
        <v>0.30000000000000004</v>
      </c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</row>
    <row r="620" spans="1:65" ht="13.5" customHeight="1">
      <c r="A620" s="17" t="s">
        <v>407</v>
      </c>
      <c r="B620" s="18"/>
      <c r="C620" s="18"/>
      <c r="D620" s="14"/>
      <c r="E620" s="36" t="s">
        <v>172</v>
      </c>
      <c r="F620" s="67">
        <f>F386</f>
        <v>124.13937345407948</v>
      </c>
      <c r="G620" s="7" t="s">
        <v>53</v>
      </c>
      <c r="H620" s="17" t="s">
        <v>276</v>
      </c>
      <c r="I620" s="18"/>
      <c r="J620" s="18"/>
      <c r="K620" s="18"/>
      <c r="L620" s="14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</row>
    <row r="621" spans="1:65" ht="13.5" customHeight="1">
      <c r="A621" s="26" t="s">
        <v>449</v>
      </c>
      <c r="B621" s="25"/>
      <c r="C621" s="25"/>
      <c r="D621" s="27"/>
      <c r="E621" s="36" t="s">
        <v>171</v>
      </c>
      <c r="F621" s="67">
        <f>F388</f>
        <v>74.98748000484352</v>
      </c>
      <c r="G621" s="6" t="s">
        <v>167</v>
      </c>
      <c r="H621" s="17"/>
      <c r="I621" s="18"/>
      <c r="J621" s="18"/>
      <c r="K621" s="18"/>
      <c r="L621" s="14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</row>
    <row r="622" spans="1:65" ht="13.5" customHeight="1">
      <c r="A622" s="26" t="s">
        <v>94</v>
      </c>
      <c r="B622"/>
      <c r="C622" s="25"/>
      <c r="D622" s="27"/>
      <c r="E622" s="116" t="s">
        <v>240</v>
      </c>
      <c r="F622" s="67">
        <f>F390</f>
        <v>0.13887205857325277</v>
      </c>
      <c r="G622" s="6" t="s">
        <v>378</v>
      </c>
      <c r="H622" s="26"/>
      <c r="I622" s="25"/>
      <c r="J622" s="25"/>
      <c r="K622" s="25"/>
      <c r="L622" s="27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</row>
    <row r="623" spans="1:65" ht="13.5" customHeight="1">
      <c r="A623" s="26" t="s">
        <v>169</v>
      </c>
      <c r="B623" s="25"/>
      <c r="C623" s="25"/>
      <c r="D623" s="27"/>
      <c r="E623" s="117" t="s">
        <v>239</v>
      </c>
      <c r="F623" s="67">
        <f>IF(F9=0,F390,IF(F389&gt;H389,F622*(H391-F9)/H391,F622-(F390-F391)*F9/F15))</f>
        <v>0.10003375909628054</v>
      </c>
      <c r="G623" s="6" t="s">
        <v>378</v>
      </c>
      <c r="H623" s="26"/>
      <c r="I623" s="25"/>
      <c r="J623" s="25"/>
      <c r="K623" s="25"/>
      <c r="L623" s="27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</row>
    <row r="624" spans="1:65" ht="13.5" customHeight="1">
      <c r="A624" s="26" t="s">
        <v>170</v>
      </c>
      <c r="B624" s="25"/>
      <c r="C624" s="25"/>
      <c r="D624" s="27"/>
      <c r="E624" s="117" t="s">
        <v>89</v>
      </c>
      <c r="F624" s="115">
        <f>F9</f>
        <v>0.5</v>
      </c>
      <c r="G624" s="18" t="s">
        <v>342</v>
      </c>
      <c r="H624" s="26"/>
      <c r="I624" s="25"/>
      <c r="J624" s="25"/>
      <c r="K624" s="25"/>
      <c r="L624" s="27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</row>
    <row r="625" spans="1:65" ht="13.5" customHeight="1">
      <c r="A625" s="26" t="s">
        <v>90</v>
      </c>
      <c r="B625" s="25"/>
      <c r="C625" s="25"/>
      <c r="D625" s="27"/>
      <c r="E625" s="117" t="s">
        <v>91</v>
      </c>
      <c r="F625" s="67">
        <f>IF(F9=0,0,F596)</f>
        <v>0.0165</v>
      </c>
      <c r="G625" s="6" t="s">
        <v>378</v>
      </c>
      <c r="H625" s="26"/>
      <c r="I625" s="25"/>
      <c r="J625" s="25"/>
      <c r="K625" s="25"/>
      <c r="L625" s="27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</row>
    <row r="626" spans="1:65" ht="13.5" customHeight="1">
      <c r="A626" s="26" t="s">
        <v>207</v>
      </c>
      <c r="B626" s="25"/>
      <c r="C626" s="25"/>
      <c r="D626" s="27"/>
      <c r="E626" s="36" t="s">
        <v>232</v>
      </c>
      <c r="F626" s="156">
        <f>IF(F9=0,0,(F624^2*(2*F622+F623)/6-F625*F624^2/2)*1000)</f>
        <v>13.678244843449418</v>
      </c>
      <c r="G626" s="6" t="s">
        <v>167</v>
      </c>
      <c r="H626" s="26"/>
      <c r="I626" s="25"/>
      <c r="J626" s="25"/>
      <c r="K626" s="25"/>
      <c r="L626" s="27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</row>
    <row r="627" spans="1:65" ht="13.5" customHeight="1">
      <c r="A627" s="26" t="s">
        <v>208</v>
      </c>
      <c r="B627" s="25"/>
      <c r="C627" s="25"/>
      <c r="D627" s="27"/>
      <c r="E627" s="36" t="s">
        <v>92</v>
      </c>
      <c r="F627" s="67">
        <f>IF(F9=0,0,(0.5*F622*F624*(2*(F624/F624)-(F624/F624)^2)+0.5*F623*F624*(F624/F624)^2-F625*F624)*1000)</f>
        <v>51.47645441738333</v>
      </c>
      <c r="G627" s="6" t="s">
        <v>337</v>
      </c>
      <c r="H627" s="26"/>
      <c r="I627" s="25"/>
      <c r="J627" s="25"/>
      <c r="K627" s="25"/>
      <c r="L627" s="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</row>
    <row r="628" spans="1:65" ht="13.5" customHeight="1">
      <c r="A628" s="26" t="s">
        <v>245</v>
      </c>
      <c r="B628" s="25"/>
      <c r="C628" s="25"/>
      <c r="D628" s="27"/>
      <c r="E628" s="36" t="s">
        <v>93</v>
      </c>
      <c r="F628" s="67">
        <f>IF(F9=0,0,F13-F24)</f>
        <v>0.27499999999999997</v>
      </c>
      <c r="G628" s="6" t="s">
        <v>342</v>
      </c>
      <c r="H628" s="26"/>
      <c r="I628" s="25"/>
      <c r="J628" s="25"/>
      <c r="K628" s="25"/>
      <c r="L628" s="27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</row>
    <row r="629" spans="1:65" ht="13.5" customHeight="1">
      <c r="A629" s="26" t="s">
        <v>483</v>
      </c>
      <c r="B629" s="25"/>
      <c r="C629" s="25"/>
      <c r="D629" s="27"/>
      <c r="E629" s="36" t="s">
        <v>279</v>
      </c>
      <c r="F629" s="67">
        <f>IF(F9=0,0,(0.5*F622*F624*(2*((F624-F628)/F624)-((F624-F628)/F624)^2)+0.5*F623*F624*((F624-F628)/F624)^2-F625*(F624-F628))*1000)</f>
        <v>25.567524267960156</v>
      </c>
      <c r="G629" s="6" t="s">
        <v>337</v>
      </c>
      <c r="H629" s="26"/>
      <c r="I629" s="25"/>
      <c r="J629" s="25"/>
      <c r="K629" s="25"/>
      <c r="L629" s="27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</row>
    <row r="630" spans="1:65" ht="13.5" customHeight="1">
      <c r="A630" s="20" t="s">
        <v>209</v>
      </c>
      <c r="B630" s="15"/>
      <c r="C630" s="15"/>
      <c r="D630" s="16"/>
      <c r="E630" s="116" t="s">
        <v>232</v>
      </c>
      <c r="F630" s="159">
        <f>F626</f>
        <v>13.678244843449418</v>
      </c>
      <c r="G630" s="6" t="s">
        <v>167</v>
      </c>
      <c r="H630" s="20"/>
      <c r="I630" s="15"/>
      <c r="J630" s="15"/>
      <c r="K630" s="15"/>
      <c r="L630" s="16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</row>
    <row r="631" spans="1:65" ht="13.5" customHeight="1">
      <c r="A631" s="25"/>
      <c r="B631" s="25"/>
      <c r="C631" s="25"/>
      <c r="D631" s="25"/>
      <c r="E631"/>
      <c r="F631"/>
      <c r="G631"/>
      <c r="H631" s="25"/>
      <c r="I631" s="25"/>
      <c r="J631" s="25"/>
      <c r="K631" s="25"/>
      <c r="L631" s="25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</row>
    <row r="632" spans="1:65" ht="19.5" customHeight="1">
      <c r="A632" s="215" t="s">
        <v>366</v>
      </c>
      <c r="B632" s="6"/>
      <c r="C632" s="6"/>
      <c r="D632" s="6"/>
      <c r="E632" s="6"/>
      <c r="F632" s="6"/>
      <c r="G632" s="7"/>
      <c r="H632" s="50" t="s">
        <v>241</v>
      </c>
      <c r="I632" s="289">
        <f>F8+F9</f>
        <v>0.8</v>
      </c>
      <c r="J632" s="71" t="s">
        <v>153</v>
      </c>
      <c r="K632" s="50" t="s">
        <v>241</v>
      </c>
      <c r="L632" s="289">
        <f>F8</f>
        <v>0.30000000000000004</v>
      </c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</row>
    <row r="633" spans="1:65" ht="13.5" customHeight="1">
      <c r="A633" s="17" t="s">
        <v>407</v>
      </c>
      <c r="B633" s="18"/>
      <c r="C633" s="18"/>
      <c r="D633" s="14"/>
      <c r="E633" s="57" t="s">
        <v>172</v>
      </c>
      <c r="F633" s="157">
        <f>F386</f>
        <v>124.13937345407948</v>
      </c>
      <c r="G633" s="16" t="s">
        <v>53</v>
      </c>
      <c r="H633" s="17" t="s">
        <v>282</v>
      </c>
      <c r="I633" s="18"/>
      <c r="J633" s="18"/>
      <c r="K633" s="18"/>
      <c r="L633" s="14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</row>
    <row r="634" spans="1:65" ht="13.5" customHeight="1">
      <c r="A634" s="26" t="s">
        <v>449</v>
      </c>
      <c r="B634" s="25"/>
      <c r="C634" s="25"/>
      <c r="D634" s="27"/>
      <c r="E634" s="57" t="s">
        <v>171</v>
      </c>
      <c r="F634" s="92">
        <f>F388</f>
        <v>74.98748000484352</v>
      </c>
      <c r="G634" s="6" t="s">
        <v>167</v>
      </c>
      <c r="H634" s="17"/>
      <c r="I634" s="18"/>
      <c r="J634" s="18"/>
      <c r="K634" s="18"/>
      <c r="L634" s="1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</row>
    <row r="635" spans="1:65" ht="13.5" customHeight="1">
      <c r="A635" s="26" t="s">
        <v>94</v>
      </c>
      <c r="B635" s="25"/>
      <c r="C635" s="25"/>
      <c r="D635" s="27"/>
      <c r="E635" s="57" t="s">
        <v>240</v>
      </c>
      <c r="F635" s="156">
        <f>IF(F622=0,0,IF(F389&gt;H389,F622*(H391-F9-F8)/H391,F622-(F390-F391)*(F8+F9)/F15))</f>
        <v>0.07673077941009718</v>
      </c>
      <c r="G635" s="6" t="s">
        <v>378</v>
      </c>
      <c r="H635" s="26"/>
      <c r="I635" s="25"/>
      <c r="J635" s="25"/>
      <c r="K635" s="25"/>
      <c r="L635" s="27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</row>
    <row r="636" spans="1:65" ht="13.5" customHeight="1">
      <c r="A636" s="26" t="s">
        <v>169</v>
      </c>
      <c r="B636" s="25"/>
      <c r="C636" s="25"/>
      <c r="D636" s="27"/>
      <c r="E636" s="57" t="s">
        <v>239</v>
      </c>
      <c r="F636" s="156">
        <f>F391</f>
        <v>-0.02638721939917888</v>
      </c>
      <c r="G636" s="6" t="s">
        <v>378</v>
      </c>
      <c r="H636" s="26"/>
      <c r="I636" s="25"/>
      <c r="J636" s="25"/>
      <c r="K636" s="25"/>
      <c r="L636" s="27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</row>
    <row r="637" spans="1:65" ht="13.5" customHeight="1">
      <c r="A637" s="26" t="s">
        <v>170</v>
      </c>
      <c r="B637" s="25"/>
      <c r="C637" s="25"/>
      <c r="D637" s="27"/>
      <c r="E637" s="57" t="s">
        <v>89</v>
      </c>
      <c r="F637" s="154">
        <f>F10</f>
        <v>1.6</v>
      </c>
      <c r="G637" s="18" t="s">
        <v>342</v>
      </c>
      <c r="H637" s="26"/>
      <c r="I637" s="25"/>
      <c r="J637" s="25"/>
      <c r="K637" s="25"/>
      <c r="L637" s="2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</row>
    <row r="638" spans="1:65" ht="13.5" customHeight="1">
      <c r="A638" s="26" t="s">
        <v>90</v>
      </c>
      <c r="B638" s="25"/>
      <c r="C638" s="25"/>
      <c r="D638" s="27"/>
      <c r="E638" s="57" t="s">
        <v>91</v>
      </c>
      <c r="F638" s="156">
        <f>F610</f>
        <v>0.06452700197565148</v>
      </c>
      <c r="G638" s="6" t="s">
        <v>378</v>
      </c>
      <c r="H638" s="26"/>
      <c r="I638" s="25"/>
      <c r="J638" s="25"/>
      <c r="K638" s="25"/>
      <c r="L638" s="27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</row>
    <row r="639" spans="1:65" ht="13.5" customHeight="1">
      <c r="A639" s="26" t="s">
        <v>207</v>
      </c>
      <c r="B639" s="25"/>
      <c r="C639" s="25"/>
      <c r="D639" s="27"/>
      <c r="E639" s="57" t="s">
        <v>363</v>
      </c>
      <c r="F639" s="156">
        <f>((F637^2*(2*F636+F635))/6-F638*F637^2/2)*1000</f>
        <v>-72.37319053449174</v>
      </c>
      <c r="G639" s="6" t="s">
        <v>167</v>
      </c>
      <c r="H639" s="26"/>
      <c r="I639" s="25"/>
      <c r="J639" s="25"/>
      <c r="K639" s="25"/>
      <c r="L639" s="27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</row>
    <row r="640" spans="1:65" ht="13.5" customHeight="1">
      <c r="A640" s="26" t="s">
        <v>208</v>
      </c>
      <c r="B640" s="25"/>
      <c r="C640" s="25"/>
      <c r="D640" s="27"/>
      <c r="E640" s="57" t="s">
        <v>92</v>
      </c>
      <c r="F640" s="156">
        <f>(0.5*F636*F637*(2*(F637/F637)-(F637/F637)^2)+0.5*F635*F637*(F637/F637)^2-F638*F637)*1000</f>
        <v>-62.96835515230772</v>
      </c>
      <c r="G640" s="6" t="s">
        <v>337</v>
      </c>
      <c r="H640" s="26"/>
      <c r="I640" s="25"/>
      <c r="J640" s="25"/>
      <c r="K640" s="25"/>
      <c r="L640" s="27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</row>
    <row r="641" spans="1:65" ht="13.5" customHeight="1">
      <c r="A641" s="26" t="s">
        <v>245</v>
      </c>
      <c r="B641" s="25"/>
      <c r="C641" s="25"/>
      <c r="D641" s="27"/>
      <c r="E641" s="57" t="s">
        <v>93</v>
      </c>
      <c r="F641" s="156">
        <f>F13-F24</f>
        <v>0.27499999999999997</v>
      </c>
      <c r="G641" s="6" t="s">
        <v>342</v>
      </c>
      <c r="H641" s="26"/>
      <c r="I641" s="25"/>
      <c r="J641" s="25"/>
      <c r="K641" s="25"/>
      <c r="L641" s="27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</row>
    <row r="642" spans="1:65" ht="13.5" customHeight="1">
      <c r="A642" s="26" t="s">
        <v>483</v>
      </c>
      <c r="B642" s="25"/>
      <c r="C642" s="25"/>
      <c r="D642" s="27"/>
      <c r="E642" s="57" t="s">
        <v>279</v>
      </c>
      <c r="F642" s="156">
        <f>(0.5*F636*F637*(2*((F637-F641)/F637)-((F637-F641)/F637)^2)+0.5*F635*F637*((F637-F641)/F637)^2-F638*(F637-F641))*1000</f>
        <v>-63.887425615545446</v>
      </c>
      <c r="G642" s="6" t="s">
        <v>337</v>
      </c>
      <c r="H642" s="26"/>
      <c r="I642" s="25"/>
      <c r="J642" s="25"/>
      <c r="K642" s="25"/>
      <c r="L642" s="27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</row>
    <row r="643" spans="1:65" ht="13.5" customHeight="1">
      <c r="A643" s="20" t="s">
        <v>209</v>
      </c>
      <c r="B643" s="15"/>
      <c r="C643" s="15"/>
      <c r="D643" s="16"/>
      <c r="E643" s="57" t="s">
        <v>232</v>
      </c>
      <c r="F643" s="158">
        <f>F639</f>
        <v>-72.37319053449174</v>
      </c>
      <c r="G643" s="6" t="s">
        <v>167</v>
      </c>
      <c r="H643" s="20"/>
      <c r="I643" s="15"/>
      <c r="J643" s="15"/>
      <c r="K643" s="15"/>
      <c r="L643" s="16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</row>
    <row r="644" spans="1:65" ht="21.75" customHeight="1">
      <c r="A644" s="121" t="s">
        <v>367</v>
      </c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</row>
    <row r="645" spans="1:65" ht="13.5" customHeight="1">
      <c r="A645" s="17" t="s">
        <v>148</v>
      </c>
      <c r="B645" s="18"/>
      <c r="C645" s="18"/>
      <c r="D645" s="18"/>
      <c r="E645" s="19" t="s">
        <v>421</v>
      </c>
      <c r="F645" s="19" t="s">
        <v>419</v>
      </c>
      <c r="G645" s="19" t="s">
        <v>212</v>
      </c>
      <c r="H645" s="19" t="s">
        <v>213</v>
      </c>
      <c r="I645" s="19" t="s">
        <v>385</v>
      </c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</row>
    <row r="646" spans="1:65" ht="13.5" customHeight="1">
      <c r="A646" s="26"/>
      <c r="B646" s="25"/>
      <c r="C646" s="25"/>
      <c r="D646" s="25"/>
      <c r="E646" s="21" t="s">
        <v>246</v>
      </c>
      <c r="F646" s="21" t="s">
        <v>447</v>
      </c>
      <c r="G646" s="21"/>
      <c r="H646" s="21"/>
      <c r="I646" s="21" t="s">
        <v>214</v>
      </c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</row>
    <row r="647" spans="1:65" ht="13.5" customHeight="1">
      <c r="A647" s="17" t="s">
        <v>1</v>
      </c>
      <c r="B647" s="18"/>
      <c r="C647" s="18"/>
      <c r="D647" s="14"/>
      <c r="E647" s="197">
        <f>MAX(ABS(F597),ABS(F626))</f>
        <v>13.678244843449418</v>
      </c>
      <c r="F647" s="160">
        <f>F13-(F23+0.05)</f>
        <v>0.27499999999999997</v>
      </c>
      <c r="G647" s="160">
        <f>E647/(1*F647^2*$F$21*10^3)</f>
        <v>0.016956501872044737</v>
      </c>
      <c r="H647" s="161">
        <f>ΠINAKEΣ!C153</f>
        <v>0.017265196928206078</v>
      </c>
      <c r="I647" s="162">
        <f>IF(E647="","",IF(H647&lt;0.001,0,H647*1*100*F647*100*$F$20/$F$22))</f>
        <v>1.1648252860896364</v>
      </c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</row>
    <row r="648" spans="1:65" ht="13.5" customHeight="1">
      <c r="A648" s="26" t="s">
        <v>253</v>
      </c>
      <c r="B648" s="25"/>
      <c r="C648" s="25"/>
      <c r="D648" s="27"/>
      <c r="E648" s="198">
        <f>MAX(F611,F639)</f>
        <v>-4.541374879128229</v>
      </c>
      <c r="F648" s="13">
        <f>F13-(F23+0.05)</f>
        <v>0.27499999999999997</v>
      </c>
      <c r="G648" s="13">
        <f>E648/(1*F648^2*$F$21*10^3)</f>
        <v>-0.005629803569167228</v>
      </c>
      <c r="H648" s="129">
        <f>ΠINAKEΣ!E153</f>
        <v>0.0056861016048589</v>
      </c>
      <c r="I648" s="162">
        <f>IF(E648="","",IF(H648&lt;0.001,0,H648*1*100*F648*100*$F$20/$F$22))</f>
        <v>0.38362232160781373</v>
      </c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</row>
    <row r="649" spans="1:65" ht="13.5" customHeight="1">
      <c r="A649" s="20" t="s">
        <v>0</v>
      </c>
      <c r="B649" s="15"/>
      <c r="C649" s="15"/>
      <c r="D649" s="16"/>
      <c r="E649" s="55">
        <f>MIN(F611,F639)</f>
        <v>-72.37319053449174</v>
      </c>
      <c r="F649" s="13">
        <f>F13-(F23+0.05)</f>
        <v>0.27499999999999997</v>
      </c>
      <c r="G649" s="13">
        <f>E649/(1*F649^2*$F$21*10^3)</f>
        <v>-0.0897188312411055</v>
      </c>
      <c r="H649" s="129">
        <f>ΠINAKEΣ!G153</f>
        <v>0.0951879026776271</v>
      </c>
      <c r="I649" s="140">
        <f>IF(E649="","",IF(H649&lt;0.001,0,H649*1*100*F649*100*$F$20/$F$22))</f>
        <v>6.422010500650574</v>
      </c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</row>
    <row r="650" spans="1:9" ht="13.5" customHeight="1">
      <c r="A650" s="12" t="s">
        <v>66</v>
      </c>
      <c r="B650" s="6"/>
      <c r="C650" s="6"/>
      <c r="D650" s="6"/>
      <c r="E650" s="6"/>
      <c r="F650" s="6"/>
      <c r="G650" s="6"/>
      <c r="H650" s="6"/>
      <c r="I650" s="140">
        <f>0.0015*F647*1*10000</f>
        <v>4.124999999999999</v>
      </c>
    </row>
    <row r="651" spans="1:65" ht="19.5" customHeight="1">
      <c r="A651" s="81" t="s">
        <v>309</v>
      </c>
      <c r="B651" s="25"/>
      <c r="C651" s="25"/>
      <c r="D651" s="25"/>
      <c r="E651" s="183"/>
      <c r="F651" s="127"/>
      <c r="G651" s="127"/>
      <c r="H651" s="30"/>
      <c r="I651" s="32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</row>
    <row r="652" spans="1:65" ht="13.5" customHeight="1">
      <c r="A652" s="42" t="s">
        <v>2</v>
      </c>
      <c r="B652" s="18"/>
      <c r="C652" s="18"/>
      <c r="D652" s="18"/>
      <c r="E652" s="208"/>
      <c r="F652" s="220">
        <f>MAX(I647,I648,I650)</f>
        <v>4.124999999999999</v>
      </c>
      <c r="G652" s="209" t="s">
        <v>251</v>
      </c>
      <c r="H652" s="5" t="s">
        <v>108</v>
      </c>
      <c r="I652" s="213"/>
      <c r="J652" s="222" t="str">
        <f>IF(AND(F652&gt;15,F652&lt;=17),"Φ 18/15",IF(AND(F652&gt;13,F652&lt;=15),"Φ 18/17",IF(AND(F652&gt;11,FF652&lt;=13),"Φ 16/15",IF(AND(F652&gt;9,F652&lt;=11),"Φ 14/14",IF(AND(F652&gt;7,F652&lt;=9),"Φ 12/12.5",IF(AND(F652&gt;5,F652&lt;=7),"Φ 12/16",IF(AND(F652&gt;3,F652&lt;=5),"Φ 10/15","Φ 10/25")))))))</f>
        <v>Φ 10/15</v>
      </c>
      <c r="K652" s="206" t="str">
        <f>IF(J652="Φ 18/15","(16.97)",IF(J652="Φ 18/17","(14.97)",IF(J652="Φ 16/15","(13.41)",IF(J652="Φ 14/14","(11.00)",IF(J652="Φ 12/12.5","(9.05)",IF(J652="Φ 12/16","(7.07)",IF(J652="Φ 10/15","(5.24)","(3.10)")))))))</f>
        <v>(5.24)</v>
      </c>
      <c r="L652" s="106" t="s">
        <v>107</v>
      </c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</row>
    <row r="653" spans="1:65" ht="13.5" customHeight="1">
      <c r="A653" s="42" t="s">
        <v>3</v>
      </c>
      <c r="B653" s="18"/>
      <c r="C653" s="18"/>
      <c r="D653" s="18"/>
      <c r="E653" s="208"/>
      <c r="F653" s="220">
        <f>MAX(I649,I650)</f>
        <v>6.422010500650574</v>
      </c>
      <c r="G653" s="209" t="s">
        <v>251</v>
      </c>
      <c r="H653" s="5" t="s">
        <v>108</v>
      </c>
      <c r="I653" s="213"/>
      <c r="J653" s="222" t="str">
        <f>IF(AND(F653&gt;15,F653&lt;=17),"Φ 18/15",IF(AND(F653&gt;13,F653&lt;=15),"Φ 18/17",IF(AND(F653&gt;11,FF653&lt;=13),"Φ 16/15",IF(AND(F653&gt;9,F653&lt;=11),"Φ 14/14",IF(AND(F653&gt;7,F653&lt;=9),"Φ 12/12.5",IF(AND(F653&gt;5,F653&lt;=7),"Φ 12/16",IF(AND(F653&gt;3,F653&lt;=5),"Φ 10/15","Φ10/25")))))))</f>
        <v>Φ 12/16</v>
      </c>
      <c r="K653" s="206" t="str">
        <f>IF(J653="Φ 18/15","(16.97)",IF(J653="Φ 18/17","(14.97)",IF(J653="Φ 16/15","(13.41)",IF(J653="Φ 14/14","(11.00)",IF(J653="Φ 12/12.5","(9.05)",IF(J653="Φ 12/16","(7.07)",IF(J653="Φ 10/15","(5.24)","(3.10)")))))))</f>
        <v>(7.07)</v>
      </c>
      <c r="L653" s="106" t="s">
        <v>107</v>
      </c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</row>
    <row r="654" spans="1:65" ht="13.5" customHeight="1">
      <c r="A654" s="12" t="s">
        <v>242</v>
      </c>
      <c r="B654" s="6"/>
      <c r="C654" s="6"/>
      <c r="D654" s="6"/>
      <c r="E654" s="207"/>
      <c r="F654" s="221">
        <f>F653/2</f>
        <v>3.211005250325287</v>
      </c>
      <c r="G654" s="210" t="s">
        <v>251</v>
      </c>
      <c r="H654" s="5" t="s">
        <v>108</v>
      </c>
      <c r="I654" s="213"/>
      <c r="J654" s="222" t="str">
        <f>IF(AND(F654&gt;15,F654&lt;=17),"Φ 18/15",IF(AND(F654&gt;13,F654&lt;=15),"Φ 18/17",IF(AND(F654&gt;11,FF654&lt;=13),"Φ 16/15",IF(AND(F654&gt;9,F654&lt;=11),"Φ 14/14",IF(AND(F654&gt;7,F654&lt;=9),"Φ 12/12.5",IF(AND(F654&gt;5,F654&lt;=7),"Φ 12/16",IF(AND(F654&gt;3,F654&lt;=5),"Φ 10/15","Φ 10/25")))))))</f>
        <v>Φ 10/15</v>
      </c>
      <c r="K654" s="206" t="str">
        <f>IF(J654="Φ 18/15","(16.97)",IF(J654="Φ 18/17","(14.97)",IF(J654="Φ 16/15","(13.41)",IF(J654="Φ 14/14","(11.00)",IF(J654="Φ 12/12.5","(9.05)",IF(J654="Φ 12/16","(7.07)",IF(J654="Φ 10/15","(5.24)","(3.10)")))))))</f>
        <v>(5.24)</v>
      </c>
      <c r="L654" s="106" t="s">
        <v>107</v>
      </c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</row>
    <row r="655" spans="1:65" s="164" customFormat="1" ht="19.5" customHeight="1">
      <c r="A655" s="211" t="s">
        <v>368</v>
      </c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</row>
    <row r="656" spans="1:65" ht="13.5" customHeight="1">
      <c r="A656" s="5" t="s">
        <v>279</v>
      </c>
      <c r="B656" s="7"/>
      <c r="C656" s="67">
        <f>MAX(F600,F614,F629,F642)</f>
        <v>25.567524267960156</v>
      </c>
      <c r="D656" s="7" t="s">
        <v>337</v>
      </c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</row>
    <row r="657" spans="1:65" ht="13.5" customHeight="1">
      <c r="A657" s="5" t="s">
        <v>331</v>
      </c>
      <c r="B657" s="6"/>
      <c r="C657" s="6"/>
      <c r="D657" s="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</row>
    <row r="658" spans="1:65" ht="13.5" customHeight="1">
      <c r="A658" s="163" t="s">
        <v>37</v>
      </c>
      <c r="B658" s="7"/>
      <c r="C658" s="152">
        <v>0.3</v>
      </c>
      <c r="D658" s="14" t="s">
        <v>378</v>
      </c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</row>
    <row r="659" spans="1:65" ht="13.5" customHeight="1">
      <c r="A659" s="163" t="s">
        <v>27</v>
      </c>
      <c r="B659" s="7"/>
      <c r="C659" s="79">
        <v>1</v>
      </c>
      <c r="D659" s="7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</row>
    <row r="660" spans="1:65" ht="13.5" customHeight="1">
      <c r="A660" s="163" t="s">
        <v>6</v>
      </c>
      <c r="B660" s="7"/>
      <c r="C660" s="79">
        <f>0.0001*I647/(1*F647)</f>
        <v>0.0004235728313053224</v>
      </c>
      <c r="D660" s="7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</row>
    <row r="661" spans="1:65" ht="13.5" customHeight="1">
      <c r="A661" s="5" t="s">
        <v>189</v>
      </c>
      <c r="B661" s="7"/>
      <c r="C661" s="67">
        <f>C658*C659*(1.2+40*C660)*1*F647*1000</f>
        <v>100.39779034330755</v>
      </c>
      <c r="D661" s="7" t="s">
        <v>337</v>
      </c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</row>
    <row r="662" spans="1:65" ht="13.5" customHeight="1">
      <c r="A662" s="94" t="s">
        <v>332</v>
      </c>
      <c r="B662" s="111"/>
      <c r="C662" s="111"/>
      <c r="D662" s="111"/>
      <c r="E662" s="107" t="str">
        <f>IF(C648&lt;=C661,"EΛEΓXOΣ ΣE ΔIATMHΣH &amp; ΔIATPHΣH ENTAΞEI  ( αφού Vsd &lt; Vrd1 )","***  AΛΛAΓH ΔIATOMHΣ  ***   ( αφού Vsd &gt; Vrd1 )")</f>
        <v>EΛEΓXOΣ ΣE ΔIATMHΣH &amp; ΔIATPHΣH ENTAΞEI  ( αφού Vsd &lt; Vrd1 )</v>
      </c>
      <c r="F662" s="111"/>
      <c r="G662" s="111"/>
      <c r="H662" s="111"/>
      <c r="I662" s="111"/>
      <c r="J662" s="111"/>
      <c r="K662" s="111"/>
      <c r="L662" s="10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</row>
    <row r="663" spans="13:65" ht="13.5" customHeight="1"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</row>
    <row r="664" spans="1:65" ht="13.5" customHeight="1">
      <c r="A664" s="121" t="s">
        <v>310</v>
      </c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</row>
    <row r="665" spans="1:65" ht="13.5" customHeight="1">
      <c r="A665" s="5" t="s">
        <v>422</v>
      </c>
      <c r="B665" s="6"/>
      <c r="C665" s="6"/>
      <c r="D665" s="7"/>
      <c r="E665" s="159">
        <f>H89</f>
        <v>1.4725000000000001</v>
      </c>
      <c r="F665" s="7" t="s">
        <v>41</v>
      </c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</row>
    <row r="666" spans="2:65" ht="21.75" customHeight="1">
      <c r="B666" s="121" t="s">
        <v>387</v>
      </c>
      <c r="I666" s="121" t="s">
        <v>101</v>
      </c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</row>
    <row r="667" spans="13:65" ht="13.5" customHeight="1"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</row>
    <row r="668" spans="9:65" ht="13.5" customHeight="1">
      <c r="I668" s="78" t="s">
        <v>149</v>
      </c>
      <c r="J668" s="219"/>
      <c r="K668" s="219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</row>
    <row r="669" spans="9:65" ht="13.5" customHeight="1">
      <c r="I669" s="290" t="str">
        <f>IF(AND(F568&gt;15,F568&lt;=17),"Φ 18/15",IF(AND(F568&gt;13,F568&lt;=15),"Φ 18/17",IF(AND(F568&gt;11,F568&lt;=13),"Φ 16/15",IF(AND(F568&gt;9,F568&lt;=11),"Φ 14/14",IF(AND(F568&gt;7,F568&lt;=9),"Φ 12/12.5",IF(AND(F568&gt;5,F568&lt;=7),"Φ 12/16",IF(AND(F568&gt;3,F568&lt;=5),"Φ 10/15","Φ10/25")))))))</f>
        <v>Φ 12/16</v>
      </c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</row>
    <row r="670" spans="11:65" ht="13.5" customHeight="1">
      <c r="K670" s="225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</row>
    <row r="671" spans="13:65" ht="13.5" customHeight="1"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</row>
    <row r="672" spans="9:65" ht="13.5" customHeight="1">
      <c r="I672" s="78" t="s">
        <v>150</v>
      </c>
      <c r="J672" s="219"/>
      <c r="K672" s="219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</row>
    <row r="673" spans="9:65" ht="13.5" customHeight="1">
      <c r="I673" s="291" t="str">
        <f>IF(AND(F568&gt;15,F568&lt;=17),"Φ 18/15",IF(AND(F568&gt;13,F568&lt;=15),"Φ 18/17",IF(AND(F568&gt;11,F568&lt;=13),"Φ 16/15",IF(AND(F568&gt;9,F568&lt;=11),"Φ 14/14",IF(AND(F568&gt;7,F568&lt;=9),"Φ 12/12.5",IF(AND(F568&gt;5,F568&lt;=7),"Φ 12/16",IF(AND(F568&gt;3,F568&lt;=5),"Φ 10/15","Φ10/25")))))))</f>
        <v>Φ 12/16</v>
      </c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</row>
    <row r="674" spans="9:65" ht="13.5" customHeight="1">
      <c r="I674" s="225"/>
      <c r="K674" s="22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</row>
    <row r="675" spans="13:65" ht="13.5" customHeight="1"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</row>
    <row r="676" spans="1:65" ht="13.5" customHeight="1">
      <c r="A676"/>
      <c r="B676"/>
      <c r="C676"/>
      <c r="D676"/>
      <c r="E676"/>
      <c r="F676"/>
      <c r="G676"/>
      <c r="I676" s="78" t="s">
        <v>85</v>
      </c>
      <c r="J676" s="218"/>
      <c r="K676" s="218"/>
      <c r="L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</row>
    <row r="677" spans="1:65" ht="13.5" customHeight="1">
      <c r="A677"/>
      <c r="B677"/>
      <c r="C677"/>
      <c r="D677"/>
      <c r="E677"/>
      <c r="F677"/>
      <c r="G677"/>
      <c r="I677" s="121" t="str">
        <f>IF(AND(F653&gt;15,F653&lt;=17),"Φ 18/15",IF(AND(F653&gt;13,F653&lt;=15),"Φ 18/17",IF(AND(F653&gt;11,FF653&lt;=13),"Φ 16/15",IF(AND(F653&gt;9,F653&lt;=11),"Φ 14/14",IF(AND(F653&gt;7,F653&lt;=9),"Φ 12/12.5",IF(AND(F653&gt;5,F653&lt;=7),"Φ 12/16",IF(AND(F653&gt;3,F653&lt;=5),"Φ 10/15","Φ10/25")))))))</f>
        <v>Φ 12/16</v>
      </c>
      <c r="L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</row>
    <row r="678" spans="1:47" ht="13.5" customHeight="1">
      <c r="A678"/>
      <c r="B678"/>
      <c r="C678"/>
      <c r="D678"/>
      <c r="E678"/>
      <c r="F678"/>
      <c r="G678"/>
      <c r="L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:47" ht="13.5" customHeight="1">
      <c r="A679"/>
      <c r="B679"/>
      <c r="C679"/>
      <c r="D679"/>
      <c r="E679"/>
      <c r="F679"/>
      <c r="G679"/>
      <c r="L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:47" ht="13.5" customHeight="1">
      <c r="A680"/>
      <c r="B680"/>
      <c r="C680"/>
      <c r="D680"/>
      <c r="E680"/>
      <c r="F680"/>
      <c r="G680"/>
      <c r="I680" s="78" t="s">
        <v>115</v>
      </c>
      <c r="J680" s="218"/>
      <c r="K680" s="218"/>
      <c r="L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:47" ht="13.5" customHeight="1">
      <c r="A681"/>
      <c r="B681"/>
      <c r="C681"/>
      <c r="D681"/>
      <c r="E681"/>
      <c r="F681"/>
      <c r="G681"/>
      <c r="I681" s="291" t="str">
        <f>IF(AND(F652&gt;15,F652&lt;=17),"Φ 18/15",IF(AND(F652&gt;13,F652&lt;=15),"Φ 18/17",IF(AND(F652&gt;11,FF652&lt;=13),"Φ 16/15",IF(AND(F652&gt;9,F652&lt;=11),"Φ 14/14",IF(AND(F652&gt;7,F652&lt;=9),"Φ 12/12.5",IF(AND(F652&gt;5,F652&lt;=7),"Φ 12/16",IF(AND(F652&gt;3,F652&lt;=5),"Φ 10/15","Φ 10/25")))))))</f>
        <v>Φ 10/15</v>
      </c>
      <c r="K681"/>
      <c r="L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:47" ht="13.5" customHeight="1">
      <c r="A682"/>
      <c r="B682"/>
      <c r="C682"/>
      <c r="D682"/>
      <c r="E682"/>
      <c r="F682"/>
      <c r="G682"/>
      <c r="L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:47" ht="13.5" customHeight="1">
      <c r="A683"/>
      <c r="B683"/>
      <c r="C683"/>
      <c r="D683"/>
      <c r="E683"/>
      <c r="F683"/>
      <c r="G683"/>
      <c r="L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:47" ht="13.5" customHeight="1">
      <c r="A684"/>
      <c r="B684"/>
      <c r="C684"/>
      <c r="D684"/>
      <c r="E684"/>
      <c r="F684"/>
      <c r="G684"/>
      <c r="I684" s="78" t="s">
        <v>439</v>
      </c>
      <c r="J684" s="219"/>
      <c r="K684" s="219"/>
      <c r="L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:47" ht="13.5" customHeight="1">
      <c r="A685"/>
      <c r="B685"/>
      <c r="C685"/>
      <c r="D685"/>
      <c r="E685"/>
      <c r="F685"/>
      <c r="G685"/>
      <c r="I685" s="291" t="s">
        <v>252</v>
      </c>
      <c r="L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:47" ht="13.5" customHeight="1">
      <c r="A686"/>
      <c r="B686"/>
      <c r="C686"/>
      <c r="D686"/>
      <c r="E686"/>
      <c r="F686"/>
      <c r="G686"/>
      <c r="L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:47" ht="13.5" customHeight="1">
      <c r="A687"/>
      <c r="B687"/>
      <c r="C687"/>
      <c r="D687"/>
      <c r="E687"/>
      <c r="F687"/>
      <c r="G687"/>
      <c r="J687" s="219"/>
      <c r="K687" s="219"/>
      <c r="L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:47" ht="13.5" customHeight="1">
      <c r="A688"/>
      <c r="B688"/>
      <c r="C688"/>
      <c r="D688"/>
      <c r="E688"/>
      <c r="F688"/>
      <c r="G688"/>
      <c r="I688" s="78" t="s">
        <v>438</v>
      </c>
      <c r="L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:47" ht="13.5" customHeight="1">
      <c r="A689"/>
      <c r="B689"/>
      <c r="C689"/>
      <c r="D689"/>
      <c r="E689"/>
      <c r="F689"/>
      <c r="G689"/>
      <c r="I689" s="291" t="str">
        <f>IF(AND(F654&gt;15,F654&lt;=17),"Φ 18/15",IF(AND(F654&gt;13,F654&lt;=15),"Φ 18/17",IF(AND(F654&gt;11,FF654&lt;=13),"Φ 16/15",IF(AND(F654&gt;9,F654&lt;=11),"Φ 14/14",IF(AND(F654&gt;7,F654&lt;=9),"Φ 12/12.5",IF(AND(F654&gt;5,F654&lt;=7),"Φ 12/16",IF(AND(F654&gt;3,F654&lt;=5),"Φ 10/15","Φ 10/25")))))))</f>
        <v>Φ 10/15</v>
      </c>
      <c r="L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:47" ht="13.5" customHeight="1">
      <c r="A690"/>
      <c r="B690"/>
      <c r="C690"/>
      <c r="D690"/>
      <c r="E690"/>
      <c r="F690"/>
      <c r="G690"/>
      <c r="L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:47" ht="13.5" customHeight="1">
      <c r="A691"/>
      <c r="B691"/>
      <c r="C691"/>
      <c r="D691"/>
      <c r="E691"/>
      <c r="F691"/>
      <c r="G691"/>
      <c r="L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:47" ht="13.5" customHeight="1">
      <c r="A692"/>
      <c r="B692"/>
      <c r="C692"/>
      <c r="D692"/>
      <c r="E692"/>
      <c r="F692"/>
      <c r="G692"/>
      <c r="J692" s="200" t="s">
        <v>416</v>
      </c>
      <c r="L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:47" ht="13.5" customHeight="1">
      <c r="A693"/>
      <c r="B693"/>
      <c r="C693"/>
      <c r="D693"/>
      <c r="E693"/>
      <c r="F693"/>
      <c r="G693"/>
      <c r="L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:47" ht="13.5" customHeight="1">
      <c r="A694"/>
      <c r="B694"/>
      <c r="C694"/>
      <c r="D694"/>
      <c r="E694"/>
      <c r="F694"/>
      <c r="G694"/>
      <c r="L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:47" ht="13.5" customHeight="1">
      <c r="A695"/>
      <c r="B695"/>
      <c r="C695"/>
      <c r="D695"/>
      <c r="E695"/>
      <c r="F695"/>
      <c r="G695"/>
      <c r="L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:47" ht="13.5" customHeight="1">
      <c r="A696"/>
      <c r="B696"/>
      <c r="C696"/>
      <c r="D696"/>
      <c r="E696"/>
      <c r="F696"/>
      <c r="G696"/>
      <c r="L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:47" ht="13.5" customHeight="1">
      <c r="A697"/>
      <c r="B697"/>
      <c r="C697"/>
      <c r="D697"/>
      <c r="E697"/>
      <c r="F697"/>
      <c r="G697"/>
      <c r="L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:47" ht="13.5" customHeight="1">
      <c r="A698"/>
      <c r="B698"/>
      <c r="C698"/>
      <c r="D698"/>
      <c r="E698"/>
      <c r="F698"/>
      <c r="G698"/>
      <c r="L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:47" ht="13.5" customHeight="1">
      <c r="A699"/>
      <c r="B699"/>
      <c r="C699"/>
      <c r="D699"/>
      <c r="E699"/>
      <c r="F699"/>
      <c r="G699"/>
      <c r="H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:47" ht="13.5" customHeight="1">
      <c r="A700"/>
      <c r="C700"/>
      <c r="D700"/>
      <c r="E700"/>
      <c r="F700"/>
      <c r="G700"/>
      <c r="H700"/>
      <c r="I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:47" ht="13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:47" ht="13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:47" ht="13.5" customHeight="1">
      <c r="A703"/>
      <c r="B703"/>
      <c r="C703"/>
      <c r="D703"/>
      <c r="E703"/>
      <c r="F703"/>
      <c r="G703"/>
      <c r="H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:47" ht="13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:47" ht="13.5" customHeight="1">
      <c r="A705"/>
      <c r="B705"/>
      <c r="C705"/>
      <c r="D705"/>
      <c r="E705"/>
      <c r="F705"/>
      <c r="G705"/>
      <c r="H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:47" ht="13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:47" ht="13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:47" ht="13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:47" ht="13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:47" ht="13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:47" ht="13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:47" ht="13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:47" ht="13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:47" ht="13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:47" ht="13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:47" ht="13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:47" ht="13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:47" ht="13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:47" ht="13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:47" ht="13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:47" ht="13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:47" ht="13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:47" ht="13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:47" ht="13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:47" ht="13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:47" ht="13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:47" ht="13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:47" ht="13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:47" ht="13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:47" ht="13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:47" ht="13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:47" ht="13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:47" ht="13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:47" ht="13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:47" ht="13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:47" ht="13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:47" ht="13.5" customHeight="1">
      <c r="A737"/>
      <c r="B737"/>
      <c r="C737"/>
      <c r="D737"/>
      <c r="E737" s="200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:47" ht="13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:47" ht="13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:47" ht="13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:47" ht="13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:47" ht="13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:47" ht="13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:47" ht="13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:47" ht="13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:47" ht="12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:47" ht="12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:47" ht="12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:47" ht="12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:47" ht="12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:47" ht="12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:47" ht="12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:47" ht="12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:47" ht="12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:47" ht="12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:47" ht="12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:47" ht="12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:47" ht="12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:47" ht="12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:47" ht="12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:47" ht="12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:47" ht="12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:47" ht="12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:47" ht="12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:47" ht="12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:47" ht="12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:47" ht="12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:47" ht="12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:47" ht="12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:47" ht="12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:47" ht="12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:47" ht="12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:47" ht="12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:47" ht="12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:47" ht="12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:47" ht="12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:47" ht="12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:47" ht="12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:47" ht="12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:47" ht="12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:47" ht="12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:47" ht="12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:47" ht="12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:47" ht="12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:47" ht="12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:47" ht="12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:47" ht="12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:47" ht="12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:47" ht="12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:47" ht="12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:47" ht="12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:47" ht="12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:47" ht="12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:47" ht="12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:47" ht="12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:47" ht="12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:47" ht="12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:47" ht="12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:47" ht="12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:47" ht="12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:47" ht="12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:47" ht="12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:47" ht="12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:47" ht="12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:47" ht="12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:47" ht="12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:47" ht="12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:47" ht="12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:47" ht="12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:47" ht="12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:47" ht="12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:47" ht="12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:47" ht="12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:47" ht="12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:47" ht="12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:47" ht="12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:47" ht="12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:47" ht="12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:47" ht="12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:47" ht="12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:47" ht="13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:47" ht="13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:47" ht="13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:47" ht="13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:47" ht="13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:47" ht="13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:47" ht="13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:47" ht="13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:47" ht="13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:47" ht="13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:47" ht="13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:47" ht="13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:47" ht="13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:47" ht="13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:47" ht="13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:47" ht="13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:47" ht="13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:47" ht="13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:47" ht="13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:47" ht="13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:47" ht="13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:47" ht="13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:47" ht="13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:47" ht="13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:47" ht="13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:47" ht="13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:47" ht="13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:47" ht="13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:47" ht="13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:47" ht="13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:47" ht="13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:47" ht="13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:47" ht="13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:47" ht="13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:47" ht="13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:47" ht="13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:47" ht="13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:47" ht="13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:47" ht="13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:47" ht="13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:47" ht="13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:47" ht="13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:47" ht="13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:47" ht="13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:47" ht="13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:47" ht="13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:47" ht="13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:47" ht="13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:47" ht="13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:47" ht="13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:47" ht="13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:47" ht="13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:47" ht="13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:47" ht="13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:47" ht="13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:47" ht="13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:47" ht="13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:47" ht="13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:47" ht="13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:47" ht="13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:47" ht="13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:47" ht="13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:47" ht="13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:47" ht="13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:47" ht="13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:47" ht="13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:47" ht="13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:47" ht="13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:47" ht="13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:47" ht="13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:47" ht="13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:47" ht="13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:47" ht="13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:47" ht="13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:47" ht="13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:47" ht="13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:47" ht="13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:47" ht="13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:47" ht="13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:47" ht="13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:47" ht="13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:47" ht="13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:47" ht="13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:47" ht="13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:47" ht="13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:47" ht="13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:47" ht="13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:47" ht="13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:47" ht="13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:47" ht="13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:47" ht="13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:47" ht="13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:47" ht="13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:47" ht="13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:47" ht="13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:47" ht="13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:47" ht="13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:47" ht="13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:47" ht="13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:47" ht="13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:47" ht="13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:47" ht="13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:47" ht="13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:47" ht="13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:47" ht="13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:47" ht="13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:47" ht="13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:47" ht="13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:47" ht="13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:47" ht="13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:47" ht="13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:47" ht="13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:47" ht="13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:47" ht="13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:47" ht="13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:47" ht="13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:47" ht="13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:47" ht="13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:47" ht="13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:47" ht="13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:47" ht="13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:47" ht="13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:47" ht="13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:47" ht="13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:47" ht="13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:47" ht="13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:47" ht="13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:47" ht="13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:47" ht="13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:47" ht="13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:47" ht="13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:47" ht="13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:47" ht="13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:47" ht="13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:47" ht="13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:47" ht="13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:47" ht="13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:47" ht="13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:47" ht="13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:47" ht="13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:47" ht="13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:47" ht="13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:47" ht="13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:47" ht="13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:47" ht="13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:47" ht="13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:47" ht="13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:47" ht="13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:47" ht="13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:47" ht="13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:47" ht="13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:47" ht="13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:47" ht="13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:47" ht="13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:47" ht="13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:47" ht="13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:47" ht="13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:47" ht="13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:47" ht="13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:47" ht="13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:47" ht="13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:47" ht="13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:47" ht="13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:47" ht="13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:47" ht="13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:47" ht="13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:47" ht="13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:47" ht="13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:47" ht="13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:47" ht="13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:47" ht="13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:47" ht="13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:47" ht="13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:47" ht="13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:47" ht="13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:47" ht="13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:47" ht="13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:47" ht="13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:47" ht="13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:47" ht="13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:47" ht="13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:47" ht="13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:47" ht="13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:47" ht="13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:47" ht="13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:47" ht="13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:47" ht="13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:47" ht="13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:47" ht="13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:47" ht="13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:47" ht="13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:47" ht="13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:47" ht="13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:47" ht="13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:47" ht="13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:47" ht="13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:47" ht="13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:47" ht="13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:47" ht="13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:47" ht="13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:47" ht="13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:47" ht="13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:47" ht="13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:47" ht="13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:47" ht="13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:47" ht="13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:47" ht="13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:47" ht="13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:47" ht="13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:47" ht="13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:47" ht="13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:47" ht="13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:47" ht="13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:47" ht="13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:47" ht="13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:47" ht="13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:47" ht="13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:47" ht="13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:47" ht="13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:47" ht="13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:47" ht="13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:47" ht="13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:47" ht="13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:47" ht="13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:47" ht="13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:47" ht="13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:47" ht="13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:47" ht="13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:47" ht="13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:47" ht="13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:47" ht="13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:47" ht="13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:47" ht="13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:47" ht="13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:47" ht="13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:47" ht="13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:47" ht="13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:47" ht="13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:47" ht="13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:47" ht="13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:47" ht="13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:47" ht="13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:47" ht="13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:47" ht="13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:47" ht="13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:47" ht="13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:47" ht="13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:47" ht="13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:47" ht="13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:47" ht="13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:47" ht="13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:47" ht="13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:47" ht="13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:47" ht="13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:47" ht="13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:47" ht="13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:17" ht="13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3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3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3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3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3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3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3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3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3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3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3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3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3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3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3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3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3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3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3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3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3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3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3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3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3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3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3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3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3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3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3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3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3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3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3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3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3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3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3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3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3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3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3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3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3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3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3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3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3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3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3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3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3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3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3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3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3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3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3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3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3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3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3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3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3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3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3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3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3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3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3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3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3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3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3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3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3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3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3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3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3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3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3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3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3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3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3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3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3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3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3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3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3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3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3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3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3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3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3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3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3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3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3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3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3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3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3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3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3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3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3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3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3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3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3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3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3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3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3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3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3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3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3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3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3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3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3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3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3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3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3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3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3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3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3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3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3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3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3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3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3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3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3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3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3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3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3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3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3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3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3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3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3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3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3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3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3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3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3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3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3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3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3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3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3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3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3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3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3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3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3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3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3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3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3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3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3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3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3.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3.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3.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3.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3.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3.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3.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3.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3.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3.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3.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3.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3.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3.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3.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3.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3.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3.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3.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3.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3.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3.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3.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3.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3.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3.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3.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3.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3.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3.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3.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3.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3.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3.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3.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3.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3.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3.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3.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3.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3.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3.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3.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3.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3.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3.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3.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3.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3.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3.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3.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3.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3.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3.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3.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3.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3.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3.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3.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3.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3.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3.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3.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3.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3.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3.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3.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3.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3.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3.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3.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3.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3.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3.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3.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3.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3.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3.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3.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3.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3.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3.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3.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3.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3.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3.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3.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3.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3.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3.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3.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3.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3.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3.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3.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3.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3.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3.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3.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3.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3.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3.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3.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3.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3.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3.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3.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3.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3.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3.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3.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3.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3.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3.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3.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3.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3.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3.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3.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3.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3.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3.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3.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3.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3.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3.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3.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3.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3.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3.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3.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3.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3.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3.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3.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3.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3.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3.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3.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3.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3.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3.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3.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3.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3.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3.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3.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3.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3.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3.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3.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3.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3.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3.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3.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3.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3.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3.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3.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3.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3.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3.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3.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3.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3.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3.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3.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3.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3.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3.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3.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3.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3.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3.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3.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3.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3.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3.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3.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3.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3.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3.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3.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3.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3.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3.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3.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3.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3.5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3.5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3.5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3.5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3.5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3.5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3.5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3.5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3.5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3.5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3.5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3.5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3.5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3.5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3.5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3.5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3.5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3.5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3.5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3.5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3.5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3.5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3.5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3.5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3.5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3.5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3.5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3.5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3.5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3.5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3.5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3.5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3.5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3.5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3.5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3.5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3.5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3.5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3.5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3.5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3.5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3.5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3.5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3.5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3.5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3.5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3.5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3.5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3.5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3.5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3.5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3.5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3.5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3.5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3.5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3.5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3.5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3.5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3.5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3.5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3.5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3.5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3.5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3.5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3.5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3.5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3.5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3.5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3.5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3.5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3.5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3.5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3.5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3.5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3.5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3.5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3.5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3.5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3.5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3.5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3.5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3.5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3.5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3.5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3.5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3.5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3.5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3.5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3.5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3.5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3.5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3.5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3.5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3.5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3.5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3.5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3.5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3.5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3.5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3.5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3.5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3.5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3.5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3.5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3.5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3.5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3.5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3.5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3.5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3.5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3.5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3.5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3.5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3.5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3.5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3.5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3.5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3.5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3.5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3.5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3.5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3.5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3.5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3.5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3.5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3.5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3.5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3.5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3.5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3.5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3.5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3.5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3.5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3.5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3.5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3.5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3.5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3.5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3.5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3.5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3.5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3.5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3.5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3.5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3.5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3.5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3.5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3.5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3.5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3.5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3.5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3.5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3.5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3.5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3.5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3.5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3.5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3.5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3.5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3.5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3.5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3.5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3.5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3.5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3.5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3.5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3.5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3.5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3.5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3.5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3.5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3.5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3.5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3.5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3.5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3.5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3.5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3.5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3.5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3.5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3.5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3.5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3.5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3.5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3.5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3.5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3.5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3.5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3.5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3.5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3.5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3.5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3.5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3.5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3.5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3.5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3.5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3.5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3.5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3.5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3.5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3.5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3.5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3.5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3.5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3.5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3.5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3.5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3.5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3.5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3.5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3.5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3.5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3.5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3.5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3.5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3.5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3.5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3.5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3.5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3.5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3.5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3.5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3.5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3.5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3.5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3.5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3.5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3.5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3.5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3.5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3.5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3.5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3.5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3.5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3.5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3.5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3.5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3.5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3.5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3.5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3.5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3.5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3.5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3.5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3.5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3.5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3.5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3.5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3.5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3.5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3.5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3.5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3.5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3.5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3.5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3.5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3.5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3.5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3.5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3.5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3.5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3.5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3.5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3.5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3.5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3.5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3.5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3.5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3.5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3.5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3.5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3.5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3.5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3.5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3.5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3.5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3.5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3.5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3.5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3.5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3.5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3.5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3.5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3.5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3.5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3.5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3.5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3.5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3.5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3.5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3.5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3.5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3.5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3.5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3.5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3.5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3.5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3.5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3.5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3.5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3.5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3.5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3.5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3.5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3.5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3.5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3.5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3.5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3.5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3.5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3.5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3.5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3.5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3.5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3.5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3.5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3.5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3.5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3.5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3.5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3.5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3.5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3.5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3.5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3.5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3.5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3.5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3.5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3.5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3.5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3.5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3.5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3.5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3.5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3.5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3.5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3.5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3.5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3.5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3.5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3.5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3.5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3.5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3.5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3.5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3.5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3.5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3.5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3.5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3.5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3.5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3.5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3.5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3.5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3.5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3.5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3.5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3.5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3.5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3.5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3.5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3.5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3.5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3.5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3.5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3.5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3.5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3.5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3.5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3.5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3.5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3.5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3.5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3.5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3.5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3.5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3.5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3.5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3.5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3.5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3.5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3.5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3.5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3.5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3.5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3.5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3.5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3.5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3.5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3.5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3.5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3.5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3.5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3.5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3.5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3.5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3.5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3.5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3.5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3.5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3.5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3.5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3.5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3.5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3.5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3.5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3.5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3.5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3.5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3.5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3.5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3.5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3.5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3.5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3.5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3.5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3.5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3.5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3.5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3.5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3.5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3.5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3.5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3.5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3.5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3.5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3.5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3.5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3.5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3.5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3.5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3.5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3.5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3.5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3.5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3.5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3.5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3.5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3.5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3.5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3.5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3.5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3.5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3.5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3.5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3.5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3.5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3.5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3.5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3.5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3.5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3.5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3.5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3.5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3.5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3.5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3.5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3.5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3.5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3.5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3.5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3.5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3.5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3.5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3.5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3.5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3.5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3.5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3.5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3.5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3.5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3.5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3.5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3.5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3.5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3.5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3.5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3.5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3.5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3.5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3.5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3.5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3.5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3.5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3.5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3.5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3.5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3.5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3.5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3.5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3.5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3.5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3.5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3.5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3.5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3.5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3.5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3.5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3.5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3.5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3.5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3.5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3.5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3.5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3.5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3.5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3.5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3.5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3.5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3.5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3.5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3.5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3.5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3.5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3.5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3.5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3.5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3.5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3.5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3.5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3.5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3.5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3.5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3.5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3.5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3.5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3.5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3.5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3.5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3.5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3.5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3.5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3.5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3.5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3.5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3.5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3.5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3.5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3.5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3.5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3.5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3.5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3.5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3.5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3.5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3.5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3.5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3.5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3.5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3.5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3.5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3.5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3.5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3.5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3.5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3.5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3.5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3.5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3.5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3.5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3.5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3.5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3.5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3.5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3.5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3.5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3.5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3.5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3.5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3.5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3.5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3.5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3.5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3.5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3.5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3.5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3.5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3.5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3.5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3.5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3.5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3.5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3.5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3.5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3.5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3.5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3.5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3.5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3.5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3.5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3.5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3.5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3.5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3.5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3.5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3.5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3.5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3.5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3.5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3.5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3.5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3.5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3.5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3.5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3.5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3.5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3.5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3.5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3.5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3.5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3.5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3.5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3.5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3.5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3.5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3.5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3.5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3.5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3.5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3.5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3.5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3.5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3.5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3.5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3.5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3.5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3.5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3.5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3.5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3.5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3.5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3.5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3.5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3.5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3.5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3.5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3.5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3.5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3.5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3.5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3.5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3.5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3.5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3.5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3.5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3.5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3.5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3.5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3.5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3.5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3.5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3.5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3.5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3.5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3.5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3.5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3.5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3.5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3.5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3.5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3.5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3.5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3.5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3.5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3.5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3.5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3.5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3.5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3.5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3.5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3.5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3.5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3.5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3.5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3.5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3.5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3.5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3.5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3.5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3.5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3.5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3.5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3.5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3.5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3.5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3.5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3.5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3.5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3.5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3.5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3.5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3.5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3.5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3.5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3.5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3.5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3.5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3.5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3.5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3.5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3.5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3.5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3.5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3.5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3.5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3.5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3.5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3.5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3.5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3.5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3.5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3.5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3.5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3.5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3.5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3.5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3.5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3.5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3.5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3.5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3.5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3.5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3.5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3.5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3.5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3.5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3.5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3.5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3.5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3.5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3.5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3.5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3.5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3.5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3.5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3.5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3.5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3.5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3.5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3.5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3.5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3.5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3.5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3.5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3.5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</sheetData>
  <sheetProtection password="EB66" sheet="1" selectLockedCells="1"/>
  <mergeCells count="22">
    <mergeCell ref="J550:L551"/>
    <mergeCell ref="J485:L486"/>
    <mergeCell ref="A524:D524"/>
    <mergeCell ref="E524:H524"/>
    <mergeCell ref="I524:L524"/>
    <mergeCell ref="A523:L523"/>
    <mergeCell ref="A461:L461"/>
    <mergeCell ref="I274:L274"/>
    <mergeCell ref="I297:L297"/>
    <mergeCell ref="I386:L386"/>
    <mergeCell ref="K37:L37"/>
    <mergeCell ref="K52:L52"/>
    <mergeCell ref="A3:L3"/>
    <mergeCell ref="A1:L1"/>
    <mergeCell ref="A503:E503"/>
    <mergeCell ref="A2:L2"/>
    <mergeCell ref="E462:H462"/>
    <mergeCell ref="I462:L462"/>
    <mergeCell ref="A462:D462"/>
    <mergeCell ref="A442:E442"/>
    <mergeCell ref="D31:F31"/>
    <mergeCell ref="A61:L61"/>
  </mergeCells>
  <printOptions/>
  <pageMargins left="0.7480314960629921" right="0.7480314960629921" top="0.984251968503937" bottom="0.984251968503937" header="0.5118110236220472" footer="0.5118110236220472"/>
  <pageSetup orientation="portrait" paperSize="9" scale="75"/>
  <headerFooter alignWithMargins="0">
    <oddFooter>&amp;C&amp;"Helvetica GR,Regular"&amp;P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5"/>
  <sheetViews>
    <sheetView zoomScale="120" zoomScaleNormal="120" zoomScalePageLayoutView="0" workbookViewId="0" topLeftCell="A163">
      <selection activeCell="F192" sqref="F192"/>
    </sheetView>
  </sheetViews>
  <sheetFormatPr defaultColWidth="10.875" defaultRowHeight="12"/>
  <cols>
    <col min="1" max="21" width="6.875" style="2" customWidth="1"/>
    <col min="22" max="22" width="8.00390625" style="2" customWidth="1"/>
    <col min="23" max="23" width="6.375" style="2" customWidth="1"/>
    <col min="24" max="24" width="6.00390625" style="2" customWidth="1"/>
    <col min="25" max="16384" width="10.875" style="2" customWidth="1"/>
  </cols>
  <sheetData>
    <row r="1" spans="1:22" ht="12.75">
      <c r="A1" s="186" t="s">
        <v>398</v>
      </c>
      <c r="B1" s="185"/>
      <c r="C1" s="186" t="s">
        <v>184</v>
      </c>
      <c r="D1" s="185"/>
      <c r="E1" s="186" t="s">
        <v>185</v>
      </c>
      <c r="F1" s="185"/>
      <c r="G1" s="8" t="s">
        <v>186</v>
      </c>
      <c r="H1" s="9"/>
      <c r="I1" s="186" t="s">
        <v>144</v>
      </c>
      <c r="J1" s="185"/>
      <c r="K1" s="186" t="s">
        <v>145</v>
      </c>
      <c r="L1" s="185"/>
      <c r="M1" s="186" t="s">
        <v>146</v>
      </c>
      <c r="N1" s="185"/>
      <c r="O1" s="186" t="s">
        <v>451</v>
      </c>
      <c r="P1" s="185"/>
      <c r="Q1" s="8" t="s">
        <v>160</v>
      </c>
      <c r="R1" s="9"/>
      <c r="S1" s="8" t="s">
        <v>161</v>
      </c>
      <c r="T1" s="9"/>
      <c r="U1" s="8" t="s">
        <v>58</v>
      </c>
      <c r="V1" s="9"/>
    </row>
    <row r="2" spans="1:22" ht="12.75">
      <c r="A2" s="48" t="s">
        <v>452</v>
      </c>
      <c r="B2" s="48" t="s">
        <v>140</v>
      </c>
      <c r="C2" s="48" t="s">
        <v>452</v>
      </c>
      <c r="D2" s="48" t="s">
        <v>140</v>
      </c>
      <c r="E2" s="48" t="s">
        <v>452</v>
      </c>
      <c r="F2" s="48" t="s">
        <v>140</v>
      </c>
      <c r="G2" s="48" t="s">
        <v>452</v>
      </c>
      <c r="H2" s="48" t="s">
        <v>140</v>
      </c>
      <c r="I2" s="48" t="s">
        <v>452</v>
      </c>
      <c r="J2" s="48" t="s">
        <v>140</v>
      </c>
      <c r="K2" s="48" t="s">
        <v>452</v>
      </c>
      <c r="L2" s="48" t="s">
        <v>140</v>
      </c>
      <c r="M2" s="48" t="s">
        <v>452</v>
      </c>
      <c r="N2" s="48" t="s">
        <v>140</v>
      </c>
      <c r="O2" s="48" t="s">
        <v>452</v>
      </c>
      <c r="P2" s="48" t="s">
        <v>140</v>
      </c>
      <c r="Q2" s="48" t="s">
        <v>452</v>
      </c>
      <c r="R2" s="48" t="s">
        <v>140</v>
      </c>
      <c r="S2" s="48" t="s">
        <v>452</v>
      </c>
      <c r="T2" s="48" t="s">
        <v>140</v>
      </c>
      <c r="U2" s="48" t="s">
        <v>452</v>
      </c>
      <c r="V2" s="48" t="s">
        <v>140</v>
      </c>
    </row>
    <row r="3" spans="1:24" ht="12.75">
      <c r="A3" s="1">
        <f>'TOIXOΣ OΠΛ. ΣKYP.'!F6+'TOIXOΣ OΠΛ. ΣKYP.'!F7+'TOIXOΣ OΠΛ. ΣKYP.'!F9</f>
        <v>0.8</v>
      </c>
      <c r="B3" s="1">
        <f>A3-'TOIXOΣ OΠΛ. ΣKYP.'!F6</f>
        <v>0.6000000000000001</v>
      </c>
      <c r="C3" s="1">
        <f>B3</f>
        <v>0.6000000000000001</v>
      </c>
      <c r="D3" s="1">
        <f>'TOIXOΣ OΠΛ. ΣKYP.'!F9</f>
        <v>0.5</v>
      </c>
      <c r="E3" s="1">
        <f>D3</f>
        <v>0.5</v>
      </c>
      <c r="F3" s="1">
        <v>0</v>
      </c>
      <c r="G3" s="1">
        <f>F3</f>
        <v>0</v>
      </c>
      <c r="H3" s="1">
        <v>0</v>
      </c>
      <c r="I3" s="1">
        <v>0</v>
      </c>
      <c r="J3" s="1">
        <f>'TOIXOΣ OΠΛ. ΣKYP.'!F15</f>
        <v>2.4000000000000004</v>
      </c>
      <c r="K3" s="1">
        <f>J3</f>
        <v>2.4000000000000004</v>
      </c>
      <c r="L3" s="1">
        <f>'TOIXOΣ OΠΛ. ΣKYP.'!F15</f>
        <v>2.4000000000000004</v>
      </c>
      <c r="M3" s="1">
        <f>L3</f>
        <v>2.4000000000000004</v>
      </c>
      <c r="N3" s="1">
        <f>'TOIXOΣ OΠΛ. ΣKYP.'!F9+'TOIXOΣ OΠΛ. ΣKYP.'!F8</f>
        <v>0.8</v>
      </c>
      <c r="O3" s="1">
        <f>N3</f>
        <v>0.8</v>
      </c>
      <c r="P3" s="1">
        <f>O3</f>
        <v>0.8</v>
      </c>
      <c r="Q3" s="1">
        <f>P3</f>
        <v>0.8</v>
      </c>
      <c r="R3" s="1">
        <f>Q3+'TOIXOΣ OΠΛ. ΣKYP.'!F10</f>
        <v>2.4000000000000004</v>
      </c>
      <c r="S3" s="1">
        <f>R3</f>
        <v>2.4000000000000004</v>
      </c>
      <c r="T3" s="1">
        <f>'TOIXOΣ OΠΛ. ΣKYP.'!F15</f>
        <v>2.4000000000000004</v>
      </c>
      <c r="U3" s="1">
        <f>IF('TOIXOΣ OΠΛ. ΣKYP.'!F71=0,'TOIXOΣ OΠΛ. ΣKYP.'!F8+'TOIXOΣ OΠΛ. ΣKYP.'!F9+'TOIXOΣ OΠΛ. ΣKYP.'!F10,'TOIXOΣ OΠΛ. ΣKYP.'!F15)</f>
        <v>2.4000000000000004</v>
      </c>
      <c r="V3" s="1">
        <f>IF('TOIXOΣ OΠΛ. ΣKYP.'!F71=0,0,U3+1)</f>
        <v>3.4000000000000004</v>
      </c>
      <c r="W3" s="196">
        <f>'TOIXOΣ OΠΛ. ΣKYP.'!F15</f>
        <v>2.4000000000000004</v>
      </c>
      <c r="X3" s="196">
        <f>W3+1</f>
        <v>3.4000000000000004</v>
      </c>
    </row>
    <row r="4" spans="1:24" ht="12.75">
      <c r="A4" s="1">
        <f>'TOIXOΣ OΠΛ. ΣKYP.'!F5</f>
        <v>3.3</v>
      </c>
      <c r="B4" s="1">
        <f>A4</f>
        <v>3.3</v>
      </c>
      <c r="C4" s="1">
        <f>B4</f>
        <v>3.3</v>
      </c>
      <c r="D4" s="1">
        <f>'TOIXOΣ OΠΛ. ΣKYP.'!F11+'TOIXOΣ OΠΛ. ΣKYP.'!F12</f>
        <v>0.35</v>
      </c>
      <c r="E4" s="1">
        <f>D4</f>
        <v>0.35</v>
      </c>
      <c r="F4" s="1">
        <f>'TOIXOΣ OΠΛ. ΣKYP.'!F11</f>
        <v>0.25</v>
      </c>
      <c r="G4" s="1">
        <f>F4</f>
        <v>0.25</v>
      </c>
      <c r="H4" s="1">
        <v>0</v>
      </c>
      <c r="I4" s="1">
        <v>0</v>
      </c>
      <c r="J4" s="1">
        <v>0</v>
      </c>
      <c r="K4" s="1">
        <f>J4</f>
        <v>0</v>
      </c>
      <c r="L4" s="1">
        <f>'TOIXOΣ OΠΛ. ΣKYP.'!F11</f>
        <v>0.25</v>
      </c>
      <c r="M4" s="1">
        <f>L4</f>
        <v>0.25</v>
      </c>
      <c r="N4" s="1">
        <f>'TOIXOΣ OΠΛ. ΣKYP.'!F11+'TOIXOΣ OΠΛ. ΣKYP.'!F12</f>
        <v>0.35</v>
      </c>
      <c r="O4" s="1">
        <f>N4</f>
        <v>0.35</v>
      </c>
      <c r="P4" s="1">
        <f>'TOIXOΣ OΠΛ. ΣKYP.'!F5</f>
        <v>3.3</v>
      </c>
      <c r="Q4" s="1">
        <f>P4</f>
        <v>3.3</v>
      </c>
      <c r="R4" s="1">
        <f>Q4+TAN(RADIANS('TOIXOΣ OΠΛ. ΣKYP.'!L28))*'TOIXOΣ OΠΛ. ΣKYP.'!F10</f>
        <v>3.468166776425082</v>
      </c>
      <c r="S4" s="1">
        <f>R4</f>
        <v>3.468166776425082</v>
      </c>
      <c r="T4" s="1">
        <f>'TOIXOΣ OΠΛ. ΣKYP.'!F11</f>
        <v>0.25</v>
      </c>
      <c r="U4" s="1">
        <f>0.5*'TOIXOΣ OΠΛ. ΣKYP.'!F71</f>
        <v>0.6499999999999999</v>
      </c>
      <c r="V4" s="1">
        <f>IF('TOIXOΣ OΠΛ. ΣKYP.'!F71=0,0,U4+TAN(RADIANS('TOIXOΣ OΠΛ. ΣKYP.'!L28))*(V3-'TOIXOΣ OΠΛ. ΣKYP.'!F15))</f>
        <v>0.7551042352656764</v>
      </c>
      <c r="W4" s="196">
        <f>'TOIXOΣ OΠΛ. ΣKYP.'!F71+0.3*'TOIXOΣ OΠΛ. ΣKYP.'!F63</f>
        <v>1.9</v>
      </c>
      <c r="X4" s="196">
        <f>W4+TAN(RADIANS('TOIXOΣ OΠΛ. ΣKYP.'!L28))</f>
        <v>2.0051042352656765</v>
      </c>
    </row>
    <row r="6" spans="1:22" ht="12.75">
      <c r="A6" s="5" t="s">
        <v>224</v>
      </c>
      <c r="B6" s="6"/>
      <c r="C6" s="6"/>
      <c r="D6" s="6"/>
      <c r="E6" s="6"/>
      <c r="F6" s="6"/>
      <c r="G6" s="6"/>
      <c r="H6" s="7"/>
      <c r="J6" s="5" t="s">
        <v>430</v>
      </c>
      <c r="K6" s="6"/>
      <c r="L6" s="6"/>
      <c r="M6" s="6"/>
      <c r="N6" s="6"/>
      <c r="O6" s="6"/>
      <c r="P6" s="6"/>
      <c r="Q6" s="7"/>
      <c r="S6" s="2">
        <v>0</v>
      </c>
      <c r="T6" s="2">
        <f>IF('TOIXOΣ OΠΛ. ΣKYP.'!L63&lt;'TOIXOΣ OΠΛ. ΣKYP.'!F11,0,IF(AND('TOIXOΣ OΠΛ. ΣKYP.'!L63&lt;'TOIXOΣ OΠΛ. ΣKYP.'!F13,'TOIXOΣ OΠΛ. ΣKYP.'!L63&gt;'TOIXOΣ OΠΛ. ΣKYP.'!F11),'TOIXOΣ OΠΛ. ΣKYP.'!F9*('TOIXOΣ OΠΛ. ΣKYP.'!L63-'TOIXOΣ OΠΛ. ΣKYP.'!F11)/'TOIXOΣ OΠΛ. ΣKYP.'!F12,'TOIXOΣ OΠΛ. ΣKYP.'!F9+'TOIXOΣ OΠΛ. ΣKYP.'!F7*'TOIXOΣ OΠΛ. ΣKYP.'!L63*('TOIXOΣ OΠΛ. ΣKYP.'!F11+'TOIXOΣ OΠΛ. ΣKYP.'!F12)/'TOIXOΣ OΠΛ. ΣKYP.'!F14))</f>
        <v>0.5094915254237288</v>
      </c>
      <c r="U6" s="196">
        <f>'TOIXOΣ OΠΛ. ΣKYP.'!F8+'TOIXOΣ OΠΛ. ΣKYP.'!F9</f>
        <v>0.8</v>
      </c>
      <c r="V6" s="196">
        <f>'TOIXOΣ OΠΛ. ΣKYP.'!F8+'TOIXOΣ OΠΛ. ΣKYP.'!F9+'TOIXOΣ OΠΛ. ΣKYP.'!F10</f>
        <v>2.4000000000000004</v>
      </c>
    </row>
    <row r="7" spans="1:22" ht="12.75">
      <c r="A7" s="1">
        <v>0</v>
      </c>
      <c r="B7" s="1">
        <v>0</v>
      </c>
      <c r="C7" s="1">
        <f>B7</f>
        <v>0</v>
      </c>
      <c r="D7" s="1">
        <f>'TOIXOΣ OΠΛ. ΣKYP.'!H124</f>
        <v>0.7531189135520666</v>
      </c>
      <c r="E7" s="1">
        <f>D7</f>
        <v>0.7531189135520666</v>
      </c>
      <c r="F7" s="1">
        <f>'TOIXOΣ OΠΛ. ΣKYP.'!H125</f>
        <v>10.550443355917734</v>
      </c>
      <c r="G7" s="1">
        <f>F7</f>
        <v>10.550443355917734</v>
      </c>
      <c r="H7" s="1">
        <v>0</v>
      </c>
      <c r="J7" s="1">
        <v>0</v>
      </c>
      <c r="K7" s="1">
        <v>0</v>
      </c>
      <c r="L7" s="1">
        <f>K7</f>
        <v>0</v>
      </c>
      <c r="M7" s="1">
        <f>'TOIXOΣ OΠΛ. ΣKYP.'!H222</f>
        <v>0</v>
      </c>
      <c r="N7" s="1">
        <f>M7</f>
        <v>0</v>
      </c>
      <c r="O7" s="187">
        <f>'TOIXOΣ OΠΛ. ΣKYP.'!H223</f>
        <v>-43.20000000000001</v>
      </c>
      <c r="P7" s="1">
        <f>O7</f>
        <v>-43.20000000000001</v>
      </c>
      <c r="Q7" s="1">
        <v>0</v>
      </c>
      <c r="S7" s="196">
        <f>'TOIXOΣ OΠΛ. ΣKYP.'!L63</f>
        <v>0.8</v>
      </c>
      <c r="T7" s="196">
        <f>'TOIXOΣ OΠΛ. ΣKYP.'!L63</f>
        <v>0.8</v>
      </c>
      <c r="U7" s="196">
        <f>'TOIXOΣ OΠΛ. ΣKYP.'!F71</f>
        <v>1.2999999999999998</v>
      </c>
      <c r="V7" s="196">
        <f>U7</f>
        <v>1.2999999999999998</v>
      </c>
    </row>
    <row r="8" spans="1:17" ht="12.75">
      <c r="A8" s="1">
        <f>'TOIXOΣ OΠΛ. ΣKYP.'!H165</f>
        <v>1.2999999999999998</v>
      </c>
      <c r="B8" s="1">
        <f>'TOIXOΣ OΠΛ. ΣKYP.'!F5</f>
        <v>3.3</v>
      </c>
      <c r="C8" s="1">
        <f>B8</f>
        <v>3.3</v>
      </c>
      <c r="D8" s="1">
        <f>C8</f>
        <v>3.3</v>
      </c>
      <c r="E8" s="1">
        <f>D8</f>
        <v>3.3</v>
      </c>
      <c r="F8" s="1">
        <f>A8</f>
        <v>1.2999999999999998</v>
      </c>
      <c r="G8" s="1">
        <f>F8</f>
        <v>1.2999999999999998</v>
      </c>
      <c r="H8" s="1">
        <f>G8</f>
        <v>1.2999999999999998</v>
      </c>
      <c r="J8" s="1">
        <v>0</v>
      </c>
      <c r="K8" s="1">
        <f>'TOIXOΣ OΠΛ. ΣKYP.'!L63</f>
        <v>0.8</v>
      </c>
      <c r="L8" s="1">
        <f>K8</f>
        <v>0.8</v>
      </c>
      <c r="M8" s="1">
        <f>L8</f>
        <v>0.8</v>
      </c>
      <c r="N8" s="1">
        <f>M8</f>
        <v>0.8</v>
      </c>
      <c r="O8" s="1">
        <v>0</v>
      </c>
      <c r="P8" s="1">
        <f>O8</f>
        <v>0</v>
      </c>
      <c r="Q8" s="1">
        <v>0</v>
      </c>
    </row>
    <row r="10" spans="1:8" ht="12.75">
      <c r="A10" s="1">
        <v>0</v>
      </c>
      <c r="B10" s="1">
        <v>0</v>
      </c>
      <c r="C10" s="1">
        <f>B10</f>
        <v>0</v>
      </c>
      <c r="D10" s="1">
        <f>'TOIXOΣ OΠΛ. ΣKYP.'!H178</f>
        <v>15.146524932946825</v>
      </c>
      <c r="E10" s="1">
        <f>D10</f>
        <v>15.146524932946825</v>
      </c>
      <c r="F10" s="1">
        <f>'TOIXOΣ OΠΛ. ΣKYP.'!H179</f>
        <v>22.64284167683015</v>
      </c>
      <c r="G10" s="1">
        <f>F10</f>
        <v>22.64284167683015</v>
      </c>
      <c r="H10" s="1">
        <v>0</v>
      </c>
    </row>
    <row r="11" spans="1:8" ht="12.75">
      <c r="A11" s="1">
        <f>0</f>
        <v>0</v>
      </c>
      <c r="B11" s="1">
        <f>'TOIXOΣ OΠΛ. ΣKYP.'!H165</f>
        <v>1.2999999999999998</v>
      </c>
      <c r="C11" s="1">
        <f>B11</f>
        <v>1.2999999999999998</v>
      </c>
      <c r="D11" s="1">
        <f>C11</f>
        <v>1.2999999999999998</v>
      </c>
      <c r="E11" s="1">
        <f>D11</f>
        <v>1.2999999999999998</v>
      </c>
      <c r="F11" s="1">
        <v>0</v>
      </c>
      <c r="G11" s="1">
        <f>F11</f>
        <v>0</v>
      </c>
      <c r="H11" s="1">
        <v>0</v>
      </c>
    </row>
    <row r="20" spans="2:14" ht="12.75">
      <c r="B20" s="5" t="s">
        <v>382</v>
      </c>
      <c r="C20" s="6"/>
      <c r="D20" s="6"/>
      <c r="E20" s="6"/>
      <c r="F20" s="6"/>
      <c r="G20" s="7"/>
      <c r="I20" s="5" t="s">
        <v>382</v>
      </c>
      <c r="J20" s="6"/>
      <c r="K20" s="6"/>
      <c r="L20" s="6"/>
      <c r="M20" s="6"/>
      <c r="N20" s="7"/>
    </row>
    <row r="21" spans="2:14" ht="12.75">
      <c r="B21" s="1">
        <v>0</v>
      </c>
      <c r="C21" s="1">
        <v>0</v>
      </c>
      <c r="D21" s="1">
        <f>C21</f>
        <v>0</v>
      </c>
      <c r="E21" s="1">
        <f>'TOIXOΣ OΠΛ. ΣKYP.'!F15</f>
        <v>2.4000000000000004</v>
      </c>
      <c r="F21" s="1">
        <f>E21</f>
        <v>2.4000000000000004</v>
      </c>
      <c r="G21" s="1">
        <f>F21</f>
        <v>2.4000000000000004</v>
      </c>
      <c r="I21" s="1">
        <v>0</v>
      </c>
      <c r="J21" s="1">
        <v>0</v>
      </c>
      <c r="K21" s="1">
        <f>J21</f>
        <v>0</v>
      </c>
      <c r="L21" s="1">
        <f>'TOIXOΣ OΠΛ. ΣKYP.'!F15</f>
        <v>2.4000000000000004</v>
      </c>
      <c r="M21" s="1">
        <f>L21</f>
        <v>2.4000000000000004</v>
      </c>
      <c r="N21" s="1">
        <f>M21</f>
        <v>2.4000000000000004</v>
      </c>
    </row>
    <row r="22" spans="2:14" ht="12.75">
      <c r="B22" s="1">
        <v>0</v>
      </c>
      <c r="C22" s="1">
        <f>'TOIXOΣ OΠΛ. ΣKYP.'!F278</f>
        <v>0.08792080079817295</v>
      </c>
      <c r="D22" s="1">
        <f>C22</f>
        <v>0.08792080079817295</v>
      </c>
      <c r="E22" s="1">
        <f>'TOIXOΣ OΠΛ. ΣKYP.'!F279</f>
        <v>0.020357617185594673</v>
      </c>
      <c r="F22" s="1">
        <f>E22</f>
        <v>0.020357617185594673</v>
      </c>
      <c r="G22" s="1">
        <v>0</v>
      </c>
      <c r="I22" s="1">
        <v>0</v>
      </c>
      <c r="J22" s="1">
        <f>'TOIXOΣ OΠΛ. ΣKYP.'!F301</f>
        <v>0.10167391485692225</v>
      </c>
      <c r="K22" s="1">
        <f>J22</f>
        <v>0.10167391485692225</v>
      </c>
      <c r="L22" s="1">
        <f>'TOIXOΣ OΠΛ. ΣKYP.'!F302</f>
        <v>0.04935194942116407</v>
      </c>
      <c r="M22" s="1">
        <f>L22</f>
        <v>0.04935194942116407</v>
      </c>
      <c r="N22" s="1">
        <v>0</v>
      </c>
    </row>
    <row r="35" spans="2:7" ht="12.75">
      <c r="B35" s="5" t="s">
        <v>154</v>
      </c>
      <c r="C35" s="6"/>
      <c r="D35" s="6"/>
      <c r="E35" s="6"/>
      <c r="F35" s="6"/>
      <c r="G35" s="7"/>
    </row>
    <row r="36" spans="2:7" ht="12.75">
      <c r="B36" s="1">
        <v>0</v>
      </c>
      <c r="C36" s="1">
        <v>0</v>
      </c>
      <c r="D36" s="1">
        <f>C36</f>
        <v>0</v>
      </c>
      <c r="E36" s="1">
        <f>'TOIXOΣ OΠΛ. ΣKYP.'!F15</f>
        <v>2.4000000000000004</v>
      </c>
      <c r="F36" s="1">
        <f>E36</f>
        <v>2.4000000000000004</v>
      </c>
      <c r="G36" s="1">
        <f>F36</f>
        <v>2.4000000000000004</v>
      </c>
    </row>
    <row r="37" spans="2:7" ht="12.75">
      <c r="B37" s="1">
        <v>0</v>
      </c>
      <c r="C37" s="1">
        <f>'TOIXOΣ OΠΛ. ΣKYP.'!F390</f>
        <v>0.13887205857325277</v>
      </c>
      <c r="D37" s="1">
        <f>C37</f>
        <v>0.13887205857325277</v>
      </c>
      <c r="E37" s="1">
        <f>'TOIXOΣ OΠΛ. ΣKYP.'!F391</f>
        <v>-0.02638721939917888</v>
      </c>
      <c r="F37" s="1">
        <f>E37</f>
        <v>-0.02638721939917888</v>
      </c>
      <c r="G37" s="1">
        <v>0</v>
      </c>
    </row>
    <row r="50" spans="2:14" ht="12.75">
      <c r="B50" s="5" t="s">
        <v>155</v>
      </c>
      <c r="C50" s="6"/>
      <c r="D50" s="6"/>
      <c r="E50" s="6"/>
      <c r="F50" s="6"/>
      <c r="G50" s="7"/>
      <c r="I50" s="5" t="s">
        <v>156</v>
      </c>
      <c r="J50" s="6"/>
      <c r="K50" s="6"/>
      <c r="L50" s="6"/>
      <c r="M50" s="6"/>
      <c r="N50" s="7"/>
    </row>
    <row r="51" spans="2:14" ht="12.75">
      <c r="B51" s="1">
        <v>0</v>
      </c>
      <c r="C51" s="1">
        <v>0</v>
      </c>
      <c r="D51" s="1">
        <f>C51</f>
        <v>0</v>
      </c>
      <c r="E51" s="1">
        <f>'TOIXOΣ OΠΛ. ΣKYP.'!F9</f>
        <v>0.5</v>
      </c>
      <c r="F51" s="1">
        <f>E51</f>
        <v>0.5</v>
      </c>
      <c r="G51" s="1">
        <f>F51</f>
        <v>0.5</v>
      </c>
      <c r="I51" s="1">
        <v>0</v>
      </c>
      <c r="J51" s="1">
        <v>0</v>
      </c>
      <c r="K51" s="1">
        <f>J51</f>
        <v>0</v>
      </c>
      <c r="L51" s="1">
        <f>'TOIXOΣ OΠΛ. ΣKYP.'!F10</f>
        <v>1.6</v>
      </c>
      <c r="M51" s="1">
        <f>L51</f>
        <v>1.6</v>
      </c>
      <c r="N51" s="1">
        <f>M51</f>
        <v>1.6</v>
      </c>
    </row>
    <row r="52" spans="2:14" ht="12.75">
      <c r="B52" s="1">
        <v>0</v>
      </c>
      <c r="C52" s="1">
        <f>'TOIXOΣ OΠΛ. ΣKYP.'!F593</f>
        <v>0.10167391485692225</v>
      </c>
      <c r="D52" s="1">
        <f>C52</f>
        <v>0.10167391485692225</v>
      </c>
      <c r="E52" s="1">
        <f>'TOIXOΣ OΠΛ. ΣKYP.'!F594</f>
        <v>0.09077350539113929</v>
      </c>
      <c r="F52" s="1">
        <f>E52</f>
        <v>0.09077350539113929</v>
      </c>
      <c r="G52" s="1">
        <v>0</v>
      </c>
      <c r="I52" s="1">
        <v>0</v>
      </c>
      <c r="J52" s="1">
        <f>'TOIXOΣ OΠΛ. ΣKYP.'!F607</f>
        <v>0.0842332597116695</v>
      </c>
      <c r="K52" s="1">
        <f>J52</f>
        <v>0.0842332597116695</v>
      </c>
      <c r="L52" s="1">
        <f>'TOIXOΣ OΠΛ. ΣKYP.'!F608</f>
        <v>0.04935194942116407</v>
      </c>
      <c r="M52" s="1">
        <f>L52</f>
        <v>0.04935194942116407</v>
      </c>
      <c r="N52" s="1">
        <v>0</v>
      </c>
    </row>
    <row r="65" spans="2:14" ht="12.75">
      <c r="B65" s="5" t="s">
        <v>157</v>
      </c>
      <c r="C65" s="6"/>
      <c r="D65" s="6"/>
      <c r="E65" s="6"/>
      <c r="F65" s="6"/>
      <c r="G65" s="7"/>
      <c r="I65" s="5" t="s">
        <v>102</v>
      </c>
      <c r="J65" s="6"/>
      <c r="K65" s="6"/>
      <c r="L65" s="6"/>
      <c r="M65" s="6"/>
      <c r="N65" s="7"/>
    </row>
    <row r="66" spans="2:14" ht="12.75">
      <c r="B66" s="22">
        <v>0</v>
      </c>
      <c r="C66" s="22">
        <v>0</v>
      </c>
      <c r="D66" s="22">
        <f>C66</f>
        <v>0</v>
      </c>
      <c r="E66" s="22">
        <f>'TOIXOΣ OΠΛ. ΣKYP.'!F9</f>
        <v>0.5</v>
      </c>
      <c r="F66" s="22">
        <f>E66</f>
        <v>0.5</v>
      </c>
      <c r="G66" s="23">
        <f>F66</f>
        <v>0.5</v>
      </c>
      <c r="I66" s="13">
        <v>0</v>
      </c>
      <c r="J66" s="13">
        <v>0</v>
      </c>
      <c r="K66" s="13">
        <f>J66</f>
        <v>0</v>
      </c>
      <c r="L66" s="13">
        <f>'TOIXOΣ OΠΛ. ΣKYP.'!F10</f>
        <v>1.6</v>
      </c>
      <c r="M66" s="13">
        <f>L66</f>
        <v>1.6</v>
      </c>
      <c r="N66" s="13">
        <f>M66</f>
        <v>1.6</v>
      </c>
    </row>
    <row r="67" spans="2:14" ht="12.75">
      <c r="B67" s="22">
        <v>0</v>
      </c>
      <c r="C67" s="22">
        <f>'TOIXOΣ OΠΛ. ΣKYP.'!F622</f>
        <v>0.13887205857325277</v>
      </c>
      <c r="D67" s="22">
        <f>C67</f>
        <v>0.13887205857325277</v>
      </c>
      <c r="E67" s="154">
        <f>'TOIXOΣ OΠΛ. ΣKYP.'!F623</f>
        <v>0.10003375909628054</v>
      </c>
      <c r="F67" s="22">
        <f>E67</f>
        <v>0.10003375909628054</v>
      </c>
      <c r="G67" s="23">
        <v>0</v>
      </c>
      <c r="I67" s="13">
        <v>0</v>
      </c>
      <c r="J67" s="13">
        <f>'TOIXOΣ OΠΛ. ΣKYP.'!F635</f>
        <v>0.07673077941009718</v>
      </c>
      <c r="K67" s="13">
        <f>J67</f>
        <v>0.07673077941009718</v>
      </c>
      <c r="L67" s="13">
        <f>'TOIXOΣ OΠΛ. ΣKYP.'!F636</f>
        <v>-0.02638721939917888</v>
      </c>
      <c r="M67" s="13">
        <f>L67</f>
        <v>-0.02638721939917888</v>
      </c>
      <c r="N67" s="13">
        <v>0</v>
      </c>
    </row>
    <row r="87" spans="2:10" ht="12.75">
      <c r="B87" s="5" t="s">
        <v>129</v>
      </c>
      <c r="C87" s="6"/>
      <c r="D87" s="6"/>
      <c r="E87" s="6"/>
      <c r="F87" s="6"/>
      <c r="G87" s="6"/>
      <c r="H87" s="6"/>
      <c r="I87" s="6"/>
      <c r="J87" s="192"/>
    </row>
    <row r="88" spans="2:10" ht="12.75">
      <c r="B88" s="21" t="s">
        <v>506</v>
      </c>
      <c r="C88" s="21" t="s">
        <v>130</v>
      </c>
      <c r="D88" s="21" t="s">
        <v>131</v>
      </c>
      <c r="E88" s="21" t="s">
        <v>132</v>
      </c>
      <c r="F88" s="21" t="s">
        <v>127</v>
      </c>
      <c r="G88" s="21" t="s">
        <v>128</v>
      </c>
      <c r="H88" s="21" t="s">
        <v>373</v>
      </c>
      <c r="I88" s="21" t="s">
        <v>374</v>
      </c>
      <c r="J88" s="130" t="s">
        <v>375</v>
      </c>
    </row>
    <row r="89" spans="2:10" ht="12.75">
      <c r="B89" s="71">
        <v>1</v>
      </c>
      <c r="C89" s="71">
        <v>2</v>
      </c>
      <c r="D89" s="71">
        <v>3</v>
      </c>
      <c r="E89" s="71">
        <v>4</v>
      </c>
      <c r="F89" s="71">
        <v>5</v>
      </c>
      <c r="G89" s="71">
        <v>6</v>
      </c>
      <c r="H89" s="71">
        <v>7</v>
      </c>
      <c r="I89" s="71">
        <v>8</v>
      </c>
      <c r="J89" s="193">
        <v>9</v>
      </c>
    </row>
    <row r="90" spans="2:10" ht="12.75">
      <c r="B90" s="71">
        <v>0</v>
      </c>
      <c r="C90" s="71">
        <v>0</v>
      </c>
      <c r="D90" s="71"/>
      <c r="E90" s="71"/>
      <c r="F90" s="71"/>
      <c r="G90" s="71"/>
      <c r="H90" s="71"/>
      <c r="I90" s="71"/>
      <c r="J90" s="193"/>
    </row>
    <row r="91" spans="2:10" ht="12.75">
      <c r="B91" s="71">
        <v>0.01</v>
      </c>
      <c r="C91" s="71">
        <v>0.0101</v>
      </c>
      <c r="D91" s="71">
        <v>0.036</v>
      </c>
      <c r="E91" s="71">
        <v>0.987</v>
      </c>
      <c r="F91" s="71">
        <v>-0.75</v>
      </c>
      <c r="G91" s="71">
        <v>20</v>
      </c>
      <c r="H91" s="71">
        <v>191</v>
      </c>
      <c r="I91" s="71">
        <v>348</v>
      </c>
      <c r="J91" s="193">
        <v>435</v>
      </c>
    </row>
    <row r="92" spans="2:10" ht="12.75">
      <c r="B92" s="71">
        <v>0.02</v>
      </c>
      <c r="C92" s="71">
        <v>0.0204</v>
      </c>
      <c r="D92" s="71">
        <v>0.053</v>
      </c>
      <c r="E92" s="71">
        <v>0.981</v>
      </c>
      <c r="F92" s="71">
        <v>-1.12</v>
      </c>
      <c r="G92" s="71">
        <v>20</v>
      </c>
      <c r="H92" s="71">
        <v>191</v>
      </c>
      <c r="I92" s="71">
        <v>348</v>
      </c>
      <c r="J92" s="193">
        <v>435</v>
      </c>
    </row>
    <row r="93" spans="2:10" ht="12.75">
      <c r="B93" s="71">
        <v>0.03</v>
      </c>
      <c r="C93" s="71">
        <v>0.0307</v>
      </c>
      <c r="D93" s="71">
        <v>0.067</v>
      </c>
      <c r="E93" s="71">
        <v>0.976</v>
      </c>
      <c r="F93" s="71">
        <v>-1.43</v>
      </c>
      <c r="G93" s="71">
        <v>20</v>
      </c>
      <c r="H93" s="71">
        <v>191</v>
      </c>
      <c r="I93" s="71">
        <v>348</v>
      </c>
      <c r="J93" s="193">
        <v>435</v>
      </c>
    </row>
    <row r="94" spans="2:10" ht="12.75">
      <c r="B94" s="71">
        <v>0.04</v>
      </c>
      <c r="C94" s="71">
        <v>0.0412</v>
      </c>
      <c r="D94" s="71">
        <v>0.079</v>
      </c>
      <c r="E94" s="71">
        <v>0.971</v>
      </c>
      <c r="F94" s="71">
        <v>-1.72</v>
      </c>
      <c r="G94" s="71">
        <v>20</v>
      </c>
      <c r="H94" s="71">
        <v>191</v>
      </c>
      <c r="I94" s="71">
        <v>348</v>
      </c>
      <c r="J94" s="193">
        <v>435</v>
      </c>
    </row>
    <row r="95" spans="2:10" ht="12.75">
      <c r="B95" s="71">
        <v>0.05</v>
      </c>
      <c r="C95" s="71">
        <v>0.0518</v>
      </c>
      <c r="D95" s="71">
        <v>0.091</v>
      </c>
      <c r="E95" s="71">
        <v>0.966</v>
      </c>
      <c r="F95" s="71">
        <v>-2.01</v>
      </c>
      <c r="G95" s="71">
        <v>20</v>
      </c>
      <c r="H95" s="71">
        <v>191</v>
      </c>
      <c r="I95" s="71">
        <v>348</v>
      </c>
      <c r="J95" s="193">
        <v>435</v>
      </c>
    </row>
    <row r="96" spans="2:10" ht="12.75">
      <c r="B96" s="71">
        <v>0.06</v>
      </c>
      <c r="C96" s="71">
        <v>0.0625</v>
      </c>
      <c r="D96" s="71">
        <v>0.103</v>
      </c>
      <c r="E96" s="71">
        <v>0.96</v>
      </c>
      <c r="F96" s="71">
        <v>-2.31</v>
      </c>
      <c r="G96" s="71">
        <v>20</v>
      </c>
      <c r="H96" s="71">
        <v>191</v>
      </c>
      <c r="I96" s="71">
        <v>348</v>
      </c>
      <c r="J96" s="193">
        <v>435</v>
      </c>
    </row>
    <row r="97" spans="2:10" ht="12.75">
      <c r="B97" s="71">
        <v>0.07</v>
      </c>
      <c r="C97" s="71">
        <v>0.0733</v>
      </c>
      <c r="D97" s="71">
        <v>0.116</v>
      </c>
      <c r="E97" s="71">
        <v>0.954</v>
      </c>
      <c r="F97" s="71">
        <v>-2.62</v>
      </c>
      <c r="G97" s="71">
        <v>20</v>
      </c>
      <c r="H97" s="71">
        <v>191</v>
      </c>
      <c r="I97" s="71">
        <v>348</v>
      </c>
      <c r="J97" s="193">
        <v>435</v>
      </c>
    </row>
    <row r="98" spans="2:10" ht="12.75">
      <c r="B98" s="71">
        <v>0.08</v>
      </c>
      <c r="C98" s="71">
        <v>0.0844</v>
      </c>
      <c r="D98" s="71">
        <v>0.128</v>
      </c>
      <c r="E98" s="71">
        <v>0.948</v>
      </c>
      <c r="F98" s="71">
        <v>-2.94</v>
      </c>
      <c r="G98" s="71">
        <v>20</v>
      </c>
      <c r="H98" s="71">
        <v>191</v>
      </c>
      <c r="I98" s="71">
        <v>348</v>
      </c>
      <c r="J98" s="193">
        <v>435</v>
      </c>
    </row>
    <row r="99" spans="2:10" ht="12.75">
      <c r="B99" s="71">
        <v>0.09</v>
      </c>
      <c r="C99" s="71">
        <v>0.0955</v>
      </c>
      <c r="D99" s="71">
        <v>0.141</v>
      </c>
      <c r="E99" s="71">
        <v>0.942</v>
      </c>
      <c r="F99" s="71">
        <v>-3.28</v>
      </c>
      <c r="G99" s="71">
        <v>20</v>
      </c>
      <c r="H99" s="71">
        <v>191</v>
      </c>
      <c r="I99" s="71">
        <v>348</v>
      </c>
      <c r="J99" s="193">
        <v>435</v>
      </c>
    </row>
    <row r="100" spans="2:10" ht="12.75">
      <c r="B100" s="71">
        <v>0.1</v>
      </c>
      <c r="C100" s="71">
        <v>0.1069</v>
      </c>
      <c r="D100" s="71">
        <v>0.155</v>
      </c>
      <c r="E100" s="71">
        <v>0.935</v>
      </c>
      <c r="F100" s="71">
        <v>-3.5</v>
      </c>
      <c r="G100" s="71">
        <v>19.03</v>
      </c>
      <c r="H100" s="71">
        <v>191</v>
      </c>
      <c r="I100" s="71">
        <v>348</v>
      </c>
      <c r="J100" s="193">
        <v>435</v>
      </c>
    </row>
    <row r="101" spans="2:10" ht="12.75">
      <c r="B101" s="71">
        <v>0.11</v>
      </c>
      <c r="C101" s="71">
        <v>0.1185</v>
      </c>
      <c r="D101" s="71">
        <v>0.172</v>
      </c>
      <c r="E101" s="71">
        <v>0.928</v>
      </c>
      <c r="F101" s="71">
        <v>-3.5</v>
      </c>
      <c r="G101" s="71">
        <v>16.83</v>
      </c>
      <c r="H101" s="71">
        <v>191</v>
      </c>
      <c r="I101" s="71">
        <v>348</v>
      </c>
      <c r="J101" s="193">
        <v>435</v>
      </c>
    </row>
    <row r="102" spans="2:10" ht="12.75">
      <c r="B102" s="71">
        <v>0.12</v>
      </c>
      <c r="C102" s="71">
        <v>0.1303</v>
      </c>
      <c r="D102" s="71">
        <v>0.189</v>
      </c>
      <c r="E102" s="71">
        <v>0.921</v>
      </c>
      <c r="F102" s="71">
        <v>-3.5</v>
      </c>
      <c r="G102" s="71">
        <v>14.99</v>
      </c>
      <c r="H102" s="71">
        <v>191</v>
      </c>
      <c r="I102" s="71">
        <v>348</v>
      </c>
      <c r="J102" s="193">
        <v>435</v>
      </c>
    </row>
    <row r="103" spans="2:10" ht="12.75">
      <c r="B103" s="71">
        <v>0.13</v>
      </c>
      <c r="C103" s="71">
        <v>0.1422</v>
      </c>
      <c r="D103" s="71">
        <v>0.207</v>
      </c>
      <c r="E103" s="71">
        <v>0.914</v>
      </c>
      <c r="F103" s="71">
        <v>-3.5</v>
      </c>
      <c r="G103" s="71">
        <v>13.46</v>
      </c>
      <c r="H103" s="71">
        <v>191</v>
      </c>
      <c r="I103" s="71">
        <v>348</v>
      </c>
      <c r="J103" s="193">
        <v>435</v>
      </c>
    </row>
    <row r="104" spans="2:10" ht="12.75">
      <c r="B104" s="71">
        <v>0.14</v>
      </c>
      <c r="C104" s="71">
        <v>0.1544</v>
      </c>
      <c r="D104" s="71">
        <v>0.224</v>
      </c>
      <c r="E104" s="71">
        <v>0.907</v>
      </c>
      <c r="F104" s="71">
        <v>-3.5</v>
      </c>
      <c r="G104" s="71">
        <v>12.1</v>
      </c>
      <c r="H104" s="71">
        <v>191</v>
      </c>
      <c r="I104" s="71">
        <v>348</v>
      </c>
      <c r="J104" s="193">
        <v>435</v>
      </c>
    </row>
    <row r="105" spans="2:10" ht="12.75">
      <c r="B105" s="71">
        <v>0.15</v>
      </c>
      <c r="C105" s="71">
        <v>0.1668</v>
      </c>
      <c r="D105" s="71">
        <v>0.242</v>
      </c>
      <c r="E105" s="71">
        <v>0.899</v>
      </c>
      <c r="F105" s="71">
        <v>-3.5</v>
      </c>
      <c r="G105" s="71">
        <v>10.94</v>
      </c>
      <c r="H105" s="71">
        <v>191</v>
      </c>
      <c r="I105" s="71">
        <v>348</v>
      </c>
      <c r="J105" s="193">
        <v>435</v>
      </c>
    </row>
    <row r="106" spans="2:10" ht="12.75">
      <c r="B106" s="71">
        <v>0.16</v>
      </c>
      <c r="C106" s="71">
        <v>0.1795</v>
      </c>
      <c r="D106" s="71">
        <v>0.261</v>
      </c>
      <c r="E106" s="71">
        <v>0.892</v>
      </c>
      <c r="F106" s="71">
        <v>-3.5</v>
      </c>
      <c r="G106" s="71">
        <v>9.92</v>
      </c>
      <c r="H106" s="71">
        <v>191</v>
      </c>
      <c r="I106" s="71">
        <v>348</v>
      </c>
      <c r="J106" s="193">
        <v>435</v>
      </c>
    </row>
    <row r="107" spans="2:10" ht="12.75">
      <c r="B107" s="71">
        <v>0.17</v>
      </c>
      <c r="C107" s="71">
        <v>0.1924</v>
      </c>
      <c r="D107" s="71">
        <v>0.28</v>
      </c>
      <c r="E107" s="71">
        <v>0.884</v>
      </c>
      <c r="F107" s="71">
        <v>-3.5</v>
      </c>
      <c r="G107" s="71">
        <v>9.02</v>
      </c>
      <c r="H107" s="71">
        <v>191</v>
      </c>
      <c r="I107" s="71">
        <v>348</v>
      </c>
      <c r="J107" s="193">
        <v>435</v>
      </c>
    </row>
    <row r="108" spans="2:10" ht="12.75">
      <c r="B108" s="71">
        <v>0.18</v>
      </c>
      <c r="C108" s="71">
        <v>0.2055</v>
      </c>
      <c r="D108" s="71">
        <v>0.299</v>
      </c>
      <c r="E108" s="71">
        <v>0.876</v>
      </c>
      <c r="F108" s="71">
        <v>-3.5</v>
      </c>
      <c r="G108" s="71">
        <v>8.22</v>
      </c>
      <c r="H108" s="71">
        <v>191</v>
      </c>
      <c r="I108" s="71">
        <v>348</v>
      </c>
      <c r="J108" s="193">
        <v>435</v>
      </c>
    </row>
    <row r="109" spans="2:10" ht="12.75">
      <c r="B109" s="71">
        <v>0.19</v>
      </c>
      <c r="C109" s="71">
        <v>0.219</v>
      </c>
      <c r="D109" s="71">
        <v>0.318</v>
      </c>
      <c r="E109" s="71">
        <v>0.868</v>
      </c>
      <c r="F109" s="71">
        <v>-3.5</v>
      </c>
      <c r="G109" s="71">
        <v>7.5</v>
      </c>
      <c r="H109" s="71">
        <v>191</v>
      </c>
      <c r="I109" s="71">
        <v>348</v>
      </c>
      <c r="J109" s="193">
        <v>435</v>
      </c>
    </row>
    <row r="110" spans="2:10" ht="12.75">
      <c r="B110" s="71">
        <v>0.2</v>
      </c>
      <c r="C110" s="71">
        <v>0.2327</v>
      </c>
      <c r="D110" s="71">
        <v>0.338</v>
      </c>
      <c r="E110" s="71">
        <v>0.859</v>
      </c>
      <c r="F110" s="71">
        <v>-3.5</v>
      </c>
      <c r="G110" s="71">
        <v>6.85</v>
      </c>
      <c r="H110" s="71">
        <v>191</v>
      </c>
      <c r="I110" s="71">
        <v>348</v>
      </c>
      <c r="J110" s="193">
        <v>435</v>
      </c>
    </row>
    <row r="111" spans="2:10" ht="12.75">
      <c r="B111" s="71">
        <v>0.21</v>
      </c>
      <c r="C111" s="71">
        <v>0.2468</v>
      </c>
      <c r="D111" s="71">
        <v>0.359</v>
      </c>
      <c r="E111" s="71">
        <v>0.851</v>
      </c>
      <c r="F111" s="71">
        <v>-3.5</v>
      </c>
      <c r="G111" s="71">
        <v>6.28</v>
      </c>
      <c r="H111" s="71">
        <v>191</v>
      </c>
      <c r="I111" s="71">
        <v>348</v>
      </c>
      <c r="J111" s="193">
        <v>435</v>
      </c>
    </row>
    <row r="112" spans="2:10" ht="12.75">
      <c r="B112" s="71">
        <v>0.22</v>
      </c>
      <c r="C112" s="71">
        <v>0.2613</v>
      </c>
      <c r="D112" s="71">
        <v>0.38</v>
      </c>
      <c r="E112" s="71">
        <v>0.842</v>
      </c>
      <c r="F112" s="71">
        <v>-3.5</v>
      </c>
      <c r="G112" s="71">
        <v>5.72</v>
      </c>
      <c r="H112" s="71">
        <v>191</v>
      </c>
      <c r="I112" s="71">
        <v>348</v>
      </c>
      <c r="J112" s="193">
        <v>435</v>
      </c>
    </row>
    <row r="113" spans="2:10" ht="12.75">
      <c r="B113" s="71">
        <v>0.23</v>
      </c>
      <c r="C113" s="71">
        <v>0.1761</v>
      </c>
      <c r="D113" s="71">
        <v>0.401</v>
      </c>
      <c r="E113" s="71">
        <v>0.833</v>
      </c>
      <c r="F113" s="71">
        <v>-3.5</v>
      </c>
      <c r="G113" s="71">
        <v>5.22</v>
      </c>
      <c r="H113" s="71">
        <v>191</v>
      </c>
      <c r="I113" s="71">
        <v>348</v>
      </c>
      <c r="J113" s="193">
        <v>435</v>
      </c>
    </row>
    <row r="114" spans="2:10" ht="12.75">
      <c r="B114" s="71">
        <v>0.24</v>
      </c>
      <c r="C114" s="71">
        <v>0.2913</v>
      </c>
      <c r="D114" s="71">
        <v>0.423</v>
      </c>
      <c r="E114" s="71">
        <v>0.824</v>
      </c>
      <c r="F114" s="71">
        <v>-3.5</v>
      </c>
      <c r="G114" s="71">
        <v>4.77</v>
      </c>
      <c r="H114" s="71">
        <v>191</v>
      </c>
      <c r="I114" s="71">
        <v>348</v>
      </c>
      <c r="J114" s="193">
        <v>435</v>
      </c>
    </row>
    <row r="115" spans="2:10" ht="12.75">
      <c r="B115" s="71">
        <v>0.25</v>
      </c>
      <c r="C115" s="71">
        <v>0.307</v>
      </c>
      <c r="D115" s="71">
        <v>0.446</v>
      </c>
      <c r="E115" s="71">
        <v>0.814</v>
      </c>
      <c r="F115" s="71">
        <v>-3.5</v>
      </c>
      <c r="G115" s="71">
        <v>4.35</v>
      </c>
      <c r="H115" s="71">
        <v>191</v>
      </c>
      <c r="I115" s="71">
        <v>348</v>
      </c>
      <c r="J115" s="193">
        <v>435</v>
      </c>
    </row>
    <row r="116" spans="2:10" ht="12.75">
      <c r="B116" s="71">
        <v>0.26</v>
      </c>
      <c r="C116" s="71">
        <v>0.3231</v>
      </c>
      <c r="D116" s="71">
        <v>0.47</v>
      </c>
      <c r="E116" s="71">
        <v>0.805</v>
      </c>
      <c r="F116" s="71">
        <v>-3.5</v>
      </c>
      <c r="G116" s="71">
        <v>3.95</v>
      </c>
      <c r="H116" s="71">
        <v>191</v>
      </c>
      <c r="I116" s="71">
        <v>348</v>
      </c>
      <c r="J116" s="193">
        <v>435</v>
      </c>
    </row>
    <row r="117" spans="2:10" ht="12.75">
      <c r="B117" s="71">
        <v>0.27</v>
      </c>
      <c r="C117" s="71">
        <v>0.3398</v>
      </c>
      <c r="D117" s="71">
        <v>0.494</v>
      </c>
      <c r="E117" s="71">
        <v>0.795</v>
      </c>
      <c r="F117" s="71">
        <v>-3.5</v>
      </c>
      <c r="G117" s="71">
        <v>3.59</v>
      </c>
      <c r="H117" s="71">
        <v>191</v>
      </c>
      <c r="I117" s="71">
        <v>348</v>
      </c>
      <c r="J117" s="193">
        <v>435</v>
      </c>
    </row>
    <row r="118" spans="2:10" ht="12.75">
      <c r="B118" s="71">
        <v>0.28</v>
      </c>
      <c r="C118" s="71">
        <v>0.3571</v>
      </c>
      <c r="D118" s="71">
        <v>0.519</v>
      </c>
      <c r="E118" s="71">
        <v>0.784</v>
      </c>
      <c r="F118" s="71">
        <v>-3.5</v>
      </c>
      <c r="G118" s="71">
        <v>3.24</v>
      </c>
      <c r="H118" s="71">
        <v>191</v>
      </c>
      <c r="I118" s="71">
        <v>348</v>
      </c>
      <c r="J118" s="193">
        <v>435</v>
      </c>
    </row>
    <row r="119" spans="2:10" ht="12.75">
      <c r="B119" s="71">
        <v>0.29</v>
      </c>
      <c r="C119" s="71">
        <v>0.375</v>
      </c>
      <c r="D119" s="71">
        <v>0.545</v>
      </c>
      <c r="E119" s="71">
        <v>0.773</v>
      </c>
      <c r="F119" s="71">
        <v>-3.5</v>
      </c>
      <c r="G119" s="71">
        <v>2.92</v>
      </c>
      <c r="H119" s="71">
        <v>191</v>
      </c>
      <c r="I119" s="71">
        <v>348</v>
      </c>
      <c r="J119" s="193">
        <v>435</v>
      </c>
    </row>
    <row r="120" spans="2:10" ht="12.75">
      <c r="B120" s="71">
        <v>0.3</v>
      </c>
      <c r="C120" s="71">
        <v>0.3937</v>
      </c>
      <c r="D120" s="71">
        <v>0.572</v>
      </c>
      <c r="E120" s="71">
        <v>0.762</v>
      </c>
      <c r="F120" s="71">
        <v>-3.5</v>
      </c>
      <c r="G120" s="71">
        <v>2.82</v>
      </c>
      <c r="H120" s="71">
        <v>191</v>
      </c>
      <c r="I120" s="71">
        <v>348</v>
      </c>
      <c r="J120" s="193">
        <v>435</v>
      </c>
    </row>
    <row r="121" spans="2:10" ht="12.75">
      <c r="B121" s="71">
        <v>0.31</v>
      </c>
      <c r="C121" s="71">
        <v>0.4132</v>
      </c>
      <c r="D121" s="71">
        <v>0.501</v>
      </c>
      <c r="E121" s="71">
        <v>0.75</v>
      </c>
      <c r="F121" s="71">
        <v>-3.5</v>
      </c>
      <c r="G121" s="71">
        <v>2.33</v>
      </c>
      <c r="H121" s="71">
        <v>191</v>
      </c>
      <c r="I121" s="71">
        <v>348</v>
      </c>
      <c r="J121" s="193">
        <v>435</v>
      </c>
    </row>
    <row r="122" spans="2:10" ht="12.75">
      <c r="B122" s="71">
        <v>0.32</v>
      </c>
      <c r="C122" s="71">
        <v>0.4337</v>
      </c>
      <c r="D122" s="71">
        <v>0.63</v>
      </c>
      <c r="E122" s="71">
        <v>0.738</v>
      </c>
      <c r="F122" s="71">
        <v>-3.5</v>
      </c>
      <c r="G122" s="71">
        <v>2.05</v>
      </c>
      <c r="H122" s="71">
        <v>191</v>
      </c>
      <c r="I122" s="71">
        <v>348</v>
      </c>
      <c r="J122" s="193">
        <v>411</v>
      </c>
    </row>
    <row r="123" spans="2:10" ht="12.75">
      <c r="B123" s="71">
        <v>0.33</v>
      </c>
      <c r="C123" s="71">
        <v>0.4553</v>
      </c>
      <c r="D123" s="71">
        <v>0.662</v>
      </c>
      <c r="E123" s="71">
        <v>0.725</v>
      </c>
      <c r="F123" s="71">
        <v>-3.5</v>
      </c>
      <c r="G123" s="71">
        <v>1.79</v>
      </c>
      <c r="H123" s="71">
        <v>191</v>
      </c>
      <c r="I123" s="71">
        <v>348</v>
      </c>
      <c r="J123" s="193">
        <v>358</v>
      </c>
    </row>
    <row r="124" spans="2:10" ht="12.75">
      <c r="B124" s="71">
        <v>0.34</v>
      </c>
      <c r="C124" s="71">
        <v>0.4783</v>
      </c>
      <c r="D124" s="71">
        <v>0.695</v>
      </c>
      <c r="E124" s="71">
        <v>0.711</v>
      </c>
      <c r="F124" s="71">
        <v>-3.5</v>
      </c>
      <c r="G124" s="71">
        <v>1.54</v>
      </c>
      <c r="H124" s="71">
        <v>191</v>
      </c>
      <c r="I124" s="71">
        <v>307</v>
      </c>
      <c r="J124" s="193">
        <v>307</v>
      </c>
    </row>
    <row r="125" spans="2:10" ht="12.75">
      <c r="B125" s="71">
        <v>0.35</v>
      </c>
      <c r="C125" s="71">
        <v>0.5029</v>
      </c>
      <c r="D125" s="71">
        <v>0.731</v>
      </c>
      <c r="E125" s="71">
        <v>0.696</v>
      </c>
      <c r="F125" s="71">
        <v>-3.5</v>
      </c>
      <c r="G125" s="71">
        <v>1.29</v>
      </c>
      <c r="H125" s="71">
        <v>191</v>
      </c>
      <c r="I125" s="71">
        <v>258</v>
      </c>
      <c r="J125" s="193">
        <v>258</v>
      </c>
    </row>
    <row r="126" spans="2:10" ht="12.75">
      <c r="B126" s="71">
        <v>0.36</v>
      </c>
      <c r="C126" s="71">
        <v>0.5295</v>
      </c>
      <c r="D126" s="71">
        <v>0.769</v>
      </c>
      <c r="E126" s="71">
        <v>0.68</v>
      </c>
      <c r="F126" s="71">
        <v>-3.5</v>
      </c>
      <c r="G126" s="71">
        <v>1.05</v>
      </c>
      <c r="H126" s="71">
        <v>191</v>
      </c>
      <c r="I126" s="71">
        <v>210</v>
      </c>
      <c r="J126" s="193">
        <v>210</v>
      </c>
    </row>
    <row r="127" spans="2:10" ht="12.75">
      <c r="B127" s="71">
        <v>0.37</v>
      </c>
      <c r="C127" s="71">
        <v>0.5387</v>
      </c>
      <c r="D127" s="71">
        <v>0.812</v>
      </c>
      <c r="E127" s="71">
        <v>0.662</v>
      </c>
      <c r="F127" s="71">
        <v>-3.5</v>
      </c>
      <c r="G127" s="71">
        <v>0.81</v>
      </c>
      <c r="H127" s="71">
        <v>162</v>
      </c>
      <c r="I127" s="71">
        <v>162</v>
      </c>
      <c r="J127" s="193">
        <v>262</v>
      </c>
    </row>
    <row r="128" spans="2:10" ht="12.75">
      <c r="B128" s="71">
        <v>0.38</v>
      </c>
      <c r="C128" s="71">
        <v>0.5915</v>
      </c>
      <c r="D128" s="71">
        <v>0.86</v>
      </c>
      <c r="E128" s="71">
        <v>0.642</v>
      </c>
      <c r="F128" s="71">
        <v>-3.5</v>
      </c>
      <c r="G128" s="71">
        <v>0.57</v>
      </c>
      <c r="H128" s="71">
        <v>114</v>
      </c>
      <c r="I128" s="71">
        <v>114</v>
      </c>
      <c r="J128" s="193">
        <v>114</v>
      </c>
    </row>
    <row r="129" spans="2:10" ht="12.75">
      <c r="B129" s="71">
        <v>0.39</v>
      </c>
      <c r="C129" s="71">
        <v>0.6297</v>
      </c>
      <c r="D129" s="71">
        <v>0.915</v>
      </c>
      <c r="E129" s="71">
        <v>0.619</v>
      </c>
      <c r="F129" s="71">
        <v>-3.5</v>
      </c>
      <c r="G129" s="71">
        <v>0.32</v>
      </c>
      <c r="H129" s="71">
        <v>64</v>
      </c>
      <c r="I129" s="71">
        <v>64</v>
      </c>
      <c r="J129" s="193">
        <v>65</v>
      </c>
    </row>
    <row r="130" spans="2:10" ht="12.75">
      <c r="B130" s="71">
        <v>0.4</v>
      </c>
      <c r="C130" s="71">
        <v>0.6774</v>
      </c>
      <c r="D130" s="71">
        <v>0.984</v>
      </c>
      <c r="E130" s="71">
        <v>0.591</v>
      </c>
      <c r="F130" s="71">
        <v>-3.5</v>
      </c>
      <c r="G130" s="71">
        <v>0.06</v>
      </c>
      <c r="H130" s="71">
        <v>11</v>
      </c>
      <c r="I130" s="71">
        <v>11</v>
      </c>
      <c r="J130" s="193">
        <v>11</v>
      </c>
    </row>
    <row r="132" ht="13.5" thickBot="1"/>
    <row r="133" spans="2:18" ht="12.75">
      <c r="B133" s="143" t="s">
        <v>211</v>
      </c>
      <c r="C133" s="144"/>
      <c r="D133" s="144"/>
      <c r="E133" s="144"/>
      <c r="F133" s="144"/>
      <c r="G133" s="144"/>
      <c r="H133" s="144"/>
      <c r="I133" s="145"/>
      <c r="K133" s="143" t="s">
        <v>141</v>
      </c>
      <c r="L133" s="144"/>
      <c r="M133" s="144"/>
      <c r="N133" s="144"/>
      <c r="O133" s="144"/>
      <c r="P133" s="144"/>
      <c r="Q133" s="144"/>
      <c r="R133" s="145"/>
    </row>
    <row r="134" spans="2:18" ht="12.75">
      <c r="B134" s="146"/>
      <c r="C134" s="71" t="s">
        <v>130</v>
      </c>
      <c r="D134" s="71"/>
      <c r="E134" s="71" t="s">
        <v>130</v>
      </c>
      <c r="F134" s="71"/>
      <c r="G134" s="71" t="s">
        <v>130</v>
      </c>
      <c r="H134" s="71"/>
      <c r="I134" s="147" t="s">
        <v>130</v>
      </c>
      <c r="K134" s="146"/>
      <c r="L134" s="71" t="s">
        <v>130</v>
      </c>
      <c r="M134" s="71"/>
      <c r="N134" s="71" t="s">
        <v>130</v>
      </c>
      <c r="O134" s="71"/>
      <c r="P134" s="71" t="s">
        <v>130</v>
      </c>
      <c r="Q134" s="71"/>
      <c r="R134" s="147" t="s">
        <v>130</v>
      </c>
    </row>
    <row r="135" spans="2:18" ht="12.75">
      <c r="B135" s="137">
        <f>FLOOR(B136,0.01)</f>
        <v>0</v>
      </c>
      <c r="C135" s="138">
        <f>VLOOKUP(B135,B90:J130,2)</f>
        <v>0</v>
      </c>
      <c r="D135" s="137">
        <f>FLOOR(D136,0.01)</f>
        <v>0.03</v>
      </c>
      <c r="E135" s="138">
        <f>VLOOKUP(D135,B90:J130,2)</f>
        <v>0.0307</v>
      </c>
      <c r="F135" s="137" t="e">
        <f>FLOOR(F136,0.01)</f>
        <v>#VALUE!</v>
      </c>
      <c r="G135" s="138" t="e">
        <f>VLOOKUP(F135,B90:J130,2)</f>
        <v>#VALUE!</v>
      </c>
      <c r="H135" s="137" t="e">
        <f>FLOOR(H136,0.01)</f>
        <v>#VALUE!</v>
      </c>
      <c r="I135" s="138" t="e">
        <f>VLOOKUP(H135,B90:J130,2)</f>
        <v>#VALUE!</v>
      </c>
      <c r="K135" s="137">
        <f>FLOOR(K136,0.01)</f>
        <v>0</v>
      </c>
      <c r="L135" s="138">
        <f>VLOOKUP(K135,B90:J130,2)</f>
        <v>0</v>
      </c>
      <c r="M135" s="137">
        <f>FLOOR(M136,0.01)</f>
        <v>0.06</v>
      </c>
      <c r="N135" s="138">
        <f>VLOOKUP(M135,B90:J130,2)</f>
        <v>0.0625</v>
      </c>
      <c r="O135" s="137" t="e">
        <f>FLOOR(O136,0.01)</f>
        <v>#VALUE!</v>
      </c>
      <c r="P135" s="138" t="e">
        <f>VLOOKUP(O135,B90:J130,2)</f>
        <v>#VALUE!</v>
      </c>
      <c r="Q135" s="137" t="e">
        <f>FLOOR(Q136,0.01)</f>
        <v>#VALUE!</v>
      </c>
      <c r="R135" s="138" t="e">
        <f>VLOOKUP(Q135,B90:J130,2)</f>
        <v>#VALUE!</v>
      </c>
    </row>
    <row r="136" spans="2:18" ht="12.75">
      <c r="B136" s="134">
        <f>'TOIXOΣ OΠΛ. ΣKYP.'!F488</f>
        <v>0.0031155852936516895</v>
      </c>
      <c r="C136" s="139">
        <f>C135+(C137-C135)*(B136-B135)*100</f>
        <v>0.0031467411465882058</v>
      </c>
      <c r="D136" s="134">
        <f>'TOIXOΣ OΠΛ. ΣKYP.'!F492</f>
        <v>0.039502709991131264</v>
      </c>
      <c r="E136" s="139">
        <f>E135+(E137-E135)*(D136-D135)*100</f>
        <v>0.04067784549068783</v>
      </c>
      <c r="F136" s="134">
        <f>'TOIXOΣ OΠΛ. ΣKYP.'!F496</f>
      </c>
      <c r="G136" s="139" t="e">
        <f>G135+(G137-G135)*(F136-F135)*100</f>
        <v>#VALUE!</v>
      </c>
      <c r="H136" s="134">
        <f>'TOIXOΣ OΠΛ. ΣKYP.'!F500</f>
      </c>
      <c r="I136" s="139" t="e">
        <f>I135+(I137-I135)*(H136-H135)*100</f>
        <v>#VALUE!</v>
      </c>
      <c r="K136" s="134">
        <f>'TOIXOΣ OΠΛ. ΣKYP.'!F553</f>
        <v>0.00623332368577635</v>
      </c>
      <c r="L136" s="139">
        <f>L135+(L137-L135)*(K136-K135)*100</f>
        <v>0.0062956569226341125</v>
      </c>
      <c r="M136" s="134">
        <f>'TOIXOΣ OΠΛ. ΣKYP.'!F557</f>
        <v>0.0696085634381782</v>
      </c>
      <c r="N136" s="139">
        <f>N135+(N137-N135)*(M136-M135)*100</f>
        <v>0.0625</v>
      </c>
      <c r="O136" s="134">
        <f>'TOIXOΣ OΠΛ. ΣKYP.'!F561</f>
      </c>
      <c r="P136" s="139" t="e">
        <f>P135+(P137-P135)*(O136-O135)*100</f>
        <v>#VALUE!</v>
      </c>
      <c r="Q136" s="134">
        <f>'TOIXOΣ OΠΛ. ΣKYP.'!F565</f>
      </c>
      <c r="R136" s="139" t="e">
        <f>R135+(R137-R135)*(Q136-Q135)*100</f>
        <v>#VALUE!</v>
      </c>
    </row>
    <row r="137" spans="2:18" ht="13.5" thickBot="1">
      <c r="B137" s="135">
        <f>B135+0.01</f>
        <v>0.01</v>
      </c>
      <c r="C137" s="136">
        <f>VLOOKUP(B137,B90:J130,2)</f>
        <v>0.0101</v>
      </c>
      <c r="D137" s="135">
        <f>D135+0.01</f>
        <v>0.04</v>
      </c>
      <c r="E137" s="136">
        <f>VLOOKUP(D137,B90:J130,2)</f>
        <v>0.0412</v>
      </c>
      <c r="F137" s="135" t="e">
        <f>F135+0.01</f>
        <v>#VALUE!</v>
      </c>
      <c r="G137" s="136" t="e">
        <f>VLOOKUP(F137,B90:J130,2)</f>
        <v>#VALUE!</v>
      </c>
      <c r="H137" s="135" t="e">
        <f>H135+0.01</f>
        <v>#VALUE!</v>
      </c>
      <c r="I137" s="136" t="e">
        <f>VLOOKUP(H137,B90:J130,2)</f>
        <v>#VALUE!</v>
      </c>
      <c r="K137" s="135">
        <f>K135+0.01</f>
        <v>0.01</v>
      </c>
      <c r="L137" s="136">
        <f>VLOOKUP(K137,B90:J130,2)</f>
        <v>0.0101</v>
      </c>
      <c r="M137" s="135">
        <f>M135+0.01</f>
        <v>0.06999999999999999</v>
      </c>
      <c r="N137" s="136">
        <f>VLOOKUP(M137,B90:J130,2)</f>
        <v>0.0625</v>
      </c>
      <c r="O137" s="135" t="e">
        <f>O135+0.01</f>
        <v>#VALUE!</v>
      </c>
      <c r="P137" s="136" t="e">
        <f>VLOOKUP(O137,B90:J130,2)</f>
        <v>#VALUE!</v>
      </c>
      <c r="Q137" s="135" t="e">
        <f>Q135+0.01</f>
        <v>#VALUE!</v>
      </c>
      <c r="R137" s="136" t="e">
        <f>VLOOKUP(Q137,B90:J130,2)</f>
        <v>#VALUE!</v>
      </c>
    </row>
    <row r="138" spans="2:18" ht="12.75">
      <c r="B138" s="132">
        <f>FLOOR(B139,0.01)</f>
        <v>0</v>
      </c>
      <c r="C138" s="133">
        <f>VLOOKUP(B138,B90:J130,2)</f>
        <v>0</v>
      </c>
      <c r="D138" s="132">
        <f>FLOOR(D139,0.01)</f>
        <v>0.05</v>
      </c>
      <c r="E138" s="133">
        <f>VLOOKUP(D138,B90:J130,2)</f>
        <v>0.0518</v>
      </c>
      <c r="F138" s="132" t="e">
        <f>FLOOR(F139,0.01)</f>
        <v>#VALUE!</v>
      </c>
      <c r="G138" s="133" t="e">
        <f>VLOOKUP(F138,B90:J130,2)</f>
        <v>#VALUE!</v>
      </c>
      <c r="H138" s="25"/>
      <c r="I138" s="201"/>
      <c r="K138" s="132">
        <f>FLOOR(K139,0.01)</f>
        <v>0.01</v>
      </c>
      <c r="L138" s="133">
        <f>VLOOKUP(K138,B90:J130,2)</f>
        <v>0.0101</v>
      </c>
      <c r="M138" s="132">
        <f>FLOOR(M139,0.01)</f>
        <v>0.09</v>
      </c>
      <c r="N138" s="133">
        <f>VLOOKUP(M138,B90:J130,2)</f>
        <v>0.0955</v>
      </c>
      <c r="O138" s="132" t="e">
        <f>FLOOR(O139,0.01)</f>
        <v>#VALUE!</v>
      </c>
      <c r="P138" s="133" t="e">
        <f>VLOOKUP(O138,B90:J130,2)</f>
        <v>#VALUE!</v>
      </c>
      <c r="Q138" s="25"/>
      <c r="R138" s="201"/>
    </row>
    <row r="139" spans="2:18" ht="12.75">
      <c r="B139" s="134">
        <f>'TOIXOΣ OΠΛ. ΣKYP.'!F489</f>
        <v>0.007979816373425852</v>
      </c>
      <c r="C139" s="139">
        <f>C138+(C140-C138)*(B139-B138)*100</f>
        <v>0.00805961453716011</v>
      </c>
      <c r="D139" s="134">
        <f>'TOIXOΣ OΠΛ. ΣKYP.'!F493</f>
        <v>0.05872522986338056</v>
      </c>
      <c r="E139" s="139">
        <f>E138+(E140-E138)*(D139-D138)*100</f>
        <v>0.06113599595381719</v>
      </c>
      <c r="F139" s="134">
        <f>'TOIXOΣ OΠΛ. ΣKYP.'!F497</f>
      </c>
      <c r="G139" s="139" t="e">
        <f>G138+(G140-G138)*(F139-F138)*100</f>
        <v>#VALUE!</v>
      </c>
      <c r="H139" s="25"/>
      <c r="I139" s="201"/>
      <c r="K139" s="134">
        <f>'TOIXOΣ OΠΛ. ΣKYP.'!F554</f>
        <v>0.016458717160464348</v>
      </c>
      <c r="L139" s="139">
        <f>L138+(L140-L138)*(K139-K138)*100</f>
        <v>0.01675247867527828</v>
      </c>
      <c r="M139" s="134">
        <f>'TOIXOΣ OΠΛ. ΣKYP.'!F558</f>
        <v>0.090748873835275</v>
      </c>
      <c r="N139" s="139">
        <f>N138+(N140-N138)*(M139-M138)*100</f>
        <v>0.0955</v>
      </c>
      <c r="O139" s="134">
        <f>'TOIXOΣ OΠΛ. ΣKYP.'!F562</f>
      </c>
      <c r="P139" s="139" t="e">
        <f>P138+(P140-P138)*(O139-O138)*100</f>
        <v>#VALUE!</v>
      </c>
      <c r="Q139" s="25"/>
      <c r="R139" s="201"/>
    </row>
    <row r="140" spans="2:18" ht="13.5" thickBot="1">
      <c r="B140" s="135">
        <f>B138+0.01</f>
        <v>0.01</v>
      </c>
      <c r="C140" s="136">
        <f>VLOOKUP(B140,B90:J130,2)</f>
        <v>0.0101</v>
      </c>
      <c r="D140" s="135">
        <f>D138+0.01</f>
        <v>0.060000000000000005</v>
      </c>
      <c r="E140" s="136">
        <f>VLOOKUP(D140,B90:J130,2)</f>
        <v>0.0625</v>
      </c>
      <c r="F140" s="135" t="e">
        <f>F138+0.01</f>
        <v>#VALUE!</v>
      </c>
      <c r="G140" s="136" t="e">
        <f>VLOOKUP(F140,B90:J130,2)</f>
        <v>#VALUE!</v>
      </c>
      <c r="H140" s="25"/>
      <c r="I140" s="201"/>
      <c r="K140" s="135">
        <f>K138+0.01</f>
        <v>0.02</v>
      </c>
      <c r="L140" s="136">
        <f>VLOOKUP(K140,B90:J130,2)</f>
        <v>0.0204</v>
      </c>
      <c r="M140" s="135">
        <f>M138+0.01</f>
        <v>0.09999999999999999</v>
      </c>
      <c r="N140" s="136">
        <f>VLOOKUP(M140,B90:J130,2)</f>
        <v>0.0955</v>
      </c>
      <c r="O140" s="135" t="e">
        <f>O138+0.01</f>
        <v>#VALUE!</v>
      </c>
      <c r="P140" s="136" t="e">
        <f>VLOOKUP(O140,B90:J130,2)</f>
        <v>#VALUE!</v>
      </c>
      <c r="Q140" s="25"/>
      <c r="R140" s="201"/>
    </row>
    <row r="141" spans="2:18" ht="12.75">
      <c r="B141" s="132">
        <f>FLOOR(B142,0.01)</f>
        <v>0.01</v>
      </c>
      <c r="C141" s="133">
        <f>VLOOKUP(B141,B90:J130,2)</f>
        <v>0.0101</v>
      </c>
      <c r="D141" s="132" t="e">
        <f>FLOOR(D142,0.01)</f>
        <v>#VALUE!</v>
      </c>
      <c r="E141" s="133" t="e">
        <f>VLOOKUP(D141,B90:J130,2)</f>
        <v>#VALUE!</v>
      </c>
      <c r="F141" s="132" t="e">
        <f>FLOOR(F142,0.01)</f>
        <v>#VALUE!</v>
      </c>
      <c r="G141" s="133" t="e">
        <f>VLOOKUP(F141,B90:J130,2)</f>
        <v>#VALUE!</v>
      </c>
      <c r="H141" s="25"/>
      <c r="I141" s="201"/>
      <c r="K141" s="132">
        <f>FLOOR(K142,0.01)</f>
        <v>0.03</v>
      </c>
      <c r="L141" s="133">
        <f>VLOOKUP(K141,B90:J130,2)</f>
        <v>0.0307</v>
      </c>
      <c r="M141" s="132" t="e">
        <f>FLOOR(M142,0.01)</f>
        <v>#VALUE!</v>
      </c>
      <c r="N141" s="133" t="e">
        <f>VLOOKUP(M141,B90:J130,2)</f>
        <v>#VALUE!</v>
      </c>
      <c r="O141" s="132" t="e">
        <f>FLOOR(O142,0.01)</f>
        <v>#VALUE!</v>
      </c>
      <c r="P141" s="133" t="e">
        <f>VLOOKUP(O141,B90:J130,2)</f>
        <v>#VALUE!</v>
      </c>
      <c r="Q141" s="25"/>
      <c r="R141" s="201"/>
    </row>
    <row r="142" spans="2:18" ht="12.75">
      <c r="B142" s="134">
        <f>'TOIXOΣ OΠΛ. ΣKYP.'!F490</f>
        <v>0.01573130799926396</v>
      </c>
      <c r="C142" s="139">
        <f>C141+(C143-C141)*(B142-B141)*100</f>
        <v>0.016003247239241878</v>
      </c>
      <c r="D142" s="134">
        <f>'TOIXOΣ OΠΛ. ΣKYP.'!F494</f>
      </c>
      <c r="E142" s="139" t="e">
        <f>E141+(E143-E141)*(D142-D141)*100</f>
        <v>#VALUE!</v>
      </c>
      <c r="F142" s="134">
        <f>'TOIXOΣ OΠΛ. ΣKYP.'!F498</f>
      </c>
      <c r="G142" s="139" t="e">
        <f>G141+(G143-G141)*(F142-F141)*100</f>
        <v>#VALUE!</v>
      </c>
      <c r="H142" s="25"/>
      <c r="I142" s="201"/>
      <c r="K142" s="134">
        <f>'TOIXOΣ OΠΛ. ΣKYP.'!F555</f>
        <v>0.03079136894446826</v>
      </c>
      <c r="L142" s="139">
        <f>L141+(L143-L141)*(K142-K141)*100</f>
        <v>0.031530937391691674</v>
      </c>
      <c r="M142" s="134">
        <f>'TOIXOΣ OΠΛ. ΣKYP.'!F559</f>
      </c>
      <c r="N142" s="139" t="e">
        <f>N141+(N143-N141)*(M142-M141)*100</f>
        <v>#VALUE!</v>
      </c>
      <c r="O142" s="134">
        <f>'TOIXOΣ OΠΛ. ΣKYP.'!F563</f>
      </c>
      <c r="P142" s="139" t="e">
        <f>P141+(P143-P141)*(O142-O141)*100</f>
        <v>#VALUE!</v>
      </c>
      <c r="Q142" s="25"/>
      <c r="R142" s="201"/>
    </row>
    <row r="143" spans="2:18" ht="13.5" thickBot="1">
      <c r="B143" s="135">
        <f>B141+0.01</f>
        <v>0.02</v>
      </c>
      <c r="C143" s="136">
        <f>VLOOKUP(B143,B90:J130,2)</f>
        <v>0.0204</v>
      </c>
      <c r="D143" s="135" t="e">
        <f>D141+0.01</f>
        <v>#VALUE!</v>
      </c>
      <c r="E143" s="136" t="e">
        <f>VLOOKUP(D143,B90:J130,2)</f>
        <v>#VALUE!</v>
      </c>
      <c r="F143" s="135" t="e">
        <f>F141+0.01</f>
        <v>#VALUE!</v>
      </c>
      <c r="G143" s="136" t="e">
        <f>VLOOKUP(F143,B90:J130,2)</f>
        <v>#VALUE!</v>
      </c>
      <c r="H143" s="25"/>
      <c r="I143" s="201"/>
      <c r="K143" s="135">
        <f>K141+0.01</f>
        <v>0.04</v>
      </c>
      <c r="L143" s="136">
        <f>VLOOKUP(K143,B90:J130,2)</f>
        <v>0.0412</v>
      </c>
      <c r="M143" s="135" t="e">
        <f>M141+0.01</f>
        <v>#VALUE!</v>
      </c>
      <c r="N143" s="136" t="e">
        <f>VLOOKUP(M143,B90:J130,2)</f>
        <v>#VALUE!</v>
      </c>
      <c r="O143" s="135" t="e">
        <f>O141+0.01</f>
        <v>#VALUE!</v>
      </c>
      <c r="P143" s="136" t="e">
        <f>VLOOKUP(O143,B90:J130,2)</f>
        <v>#VALUE!</v>
      </c>
      <c r="Q143" s="25"/>
      <c r="R143" s="201"/>
    </row>
    <row r="144" spans="2:18" ht="12.75">
      <c r="B144" s="132">
        <f>FLOOR(B145,0.01)</f>
        <v>0.02</v>
      </c>
      <c r="C144" s="133">
        <f>VLOOKUP(B144,B90:J130,2)</f>
        <v>0.0204</v>
      </c>
      <c r="D144" s="132" t="e">
        <f>FLOOR(D145,0.01)</f>
        <v>#VALUE!</v>
      </c>
      <c r="E144" s="133" t="e">
        <f>VLOOKUP(D144,B90:J130,2)</f>
        <v>#VALUE!</v>
      </c>
      <c r="F144" s="132" t="e">
        <f>FLOOR(F145,0.01)</f>
        <v>#VALUE!</v>
      </c>
      <c r="G144" s="133" t="e">
        <f>VLOOKUP(F144,B90:J130,2)</f>
        <v>#VALUE!</v>
      </c>
      <c r="H144" s="25"/>
      <c r="I144" s="201"/>
      <c r="K144" s="132">
        <f>FLOOR(K145,0.01)</f>
        <v>0.04</v>
      </c>
      <c r="L144" s="133">
        <f>VLOOKUP(K144,B90:J130,2)</f>
        <v>0.0412</v>
      </c>
      <c r="M144" s="132" t="e">
        <f>FLOOR(M145,0.01)</f>
        <v>#VALUE!</v>
      </c>
      <c r="N144" s="133" t="e">
        <f>VLOOKUP(M144,B90:J130,2)</f>
        <v>#VALUE!</v>
      </c>
      <c r="O144" s="132" t="e">
        <f>FLOOR(O145,0.01)</f>
        <v>#VALUE!</v>
      </c>
      <c r="P144" s="133" t="e">
        <f>VLOOKUP(O144,B90:J130,2)</f>
        <v>#VALUE!</v>
      </c>
      <c r="Q144" s="25"/>
      <c r="R144" s="201"/>
    </row>
    <row r="145" spans="2:18" ht="12.75">
      <c r="B145" s="134">
        <f>'TOIXOΣ OΠΛ. ΣKYP.'!F491</f>
        <v>0.026301205189640058</v>
      </c>
      <c r="C145" s="139">
        <f>C144+(C146-C144)*(B145-B144)*100</f>
        <v>0.02689024134532926</v>
      </c>
      <c r="D145" s="134">
        <f>'TOIXOΣ OΠΛ. ΣKYP.'!F495</f>
      </c>
      <c r="E145" s="139" t="e">
        <f>E144+(E146-E144)*(D145-D144)*100</f>
        <v>#VALUE!</v>
      </c>
      <c r="F145" s="134">
        <f>'TOIXOΣ OΠΛ. ΣKYP.'!F499</f>
      </c>
      <c r="G145" s="139" t="e">
        <f>G144+(G146-G144)*(F145-F144)*100</f>
        <v>#VALUE!</v>
      </c>
      <c r="H145" s="25"/>
      <c r="I145" s="201"/>
      <c r="K145" s="134">
        <f>'TOIXOΣ OΠΛ. ΣKYP.'!F556</f>
        <v>0.04867131978224614</v>
      </c>
      <c r="L145" s="139">
        <f>L144+(L146-L144)*(K145-K144)*100</f>
        <v>0.050391598969180905</v>
      </c>
      <c r="M145" s="134">
        <f>'TOIXOΣ OΠΛ. ΣKYP.'!F560</f>
      </c>
      <c r="N145" s="139" t="e">
        <f>N144+(N146-N144)*(M145-M144)*100</f>
        <v>#VALUE!</v>
      </c>
      <c r="O145" s="134">
        <f>'TOIXOΣ OΠΛ. ΣKYP.'!F564</f>
      </c>
      <c r="P145" s="139" t="e">
        <f>P144+(P146-P144)*(O145-O144)*100</f>
        <v>#VALUE!</v>
      </c>
      <c r="Q145" s="25"/>
      <c r="R145" s="201"/>
    </row>
    <row r="146" spans="2:18" ht="13.5" thickBot="1">
      <c r="B146" s="135">
        <f>B144+0.01</f>
        <v>0.03</v>
      </c>
      <c r="C146" s="136">
        <f>VLOOKUP(B146,B90:J130,2)</f>
        <v>0.0307</v>
      </c>
      <c r="D146" s="135" t="e">
        <f>D144+0.01</f>
        <v>#VALUE!</v>
      </c>
      <c r="E146" s="136" t="e">
        <f>VLOOKUP(D146,B90:J130,2)</f>
        <v>#VALUE!</v>
      </c>
      <c r="F146" s="135" t="e">
        <f>F144+0.01</f>
        <v>#VALUE!</v>
      </c>
      <c r="G146" s="136" t="e">
        <f>VLOOKUP(F146,B90:J130,2)</f>
        <v>#VALUE!</v>
      </c>
      <c r="H146" s="202"/>
      <c r="I146" s="203"/>
      <c r="K146" s="135">
        <f>K144+0.01</f>
        <v>0.05</v>
      </c>
      <c r="L146" s="136">
        <f>VLOOKUP(K146,B90:J130,2)</f>
        <v>0.0518</v>
      </c>
      <c r="M146" s="135" t="e">
        <f>M144+0.01</f>
        <v>#VALUE!</v>
      </c>
      <c r="N146" s="136" t="e">
        <f>VLOOKUP(M146,B90:J130,2)</f>
        <v>#VALUE!</v>
      </c>
      <c r="O146" s="135" t="e">
        <f>O144+0.01</f>
        <v>#VALUE!</v>
      </c>
      <c r="P146" s="136" t="e">
        <f>VLOOKUP(O146,B90:J130,2)</f>
        <v>#VALUE!</v>
      </c>
      <c r="Q146" s="202"/>
      <c r="R146" s="203"/>
    </row>
    <row r="150" spans="2:7" ht="12.75">
      <c r="B150" s="5" t="s">
        <v>415</v>
      </c>
      <c r="C150" s="204"/>
      <c r="D150" s="204"/>
      <c r="E150" s="204"/>
      <c r="F150" s="6"/>
      <c r="G150" s="7"/>
    </row>
    <row r="151" spans="2:7" ht="12.75">
      <c r="B151" s="21"/>
      <c r="C151" s="21" t="s">
        <v>130</v>
      </c>
      <c r="D151" s="21"/>
      <c r="E151" s="21" t="s">
        <v>130</v>
      </c>
      <c r="F151" s="48"/>
      <c r="G151" s="48" t="s">
        <v>130</v>
      </c>
    </row>
    <row r="152" spans="2:7" ht="12.75">
      <c r="B152" s="13">
        <f>FLOOR(B153,0.01)</f>
        <v>0.01</v>
      </c>
      <c r="C152" s="129">
        <f>VLOOKUP(B152,B90:J130,2)</f>
        <v>0.0101</v>
      </c>
      <c r="D152" s="13">
        <f>FLOOR(D153,0.01)</f>
        <v>0</v>
      </c>
      <c r="E152" s="129">
        <f>VLOOKUP(D152,B90:J130,2)</f>
        <v>0</v>
      </c>
      <c r="F152" s="13">
        <f>FLOOR(F153,0.01)</f>
        <v>0.08</v>
      </c>
      <c r="G152" s="13">
        <f>VLOOKUP(F152,B90:J130,2)</f>
        <v>0.0844</v>
      </c>
    </row>
    <row r="153" spans="2:7" ht="12.75">
      <c r="B153" s="13">
        <f>ABS('TOIXOΣ OΠΛ. ΣKYP.'!G647)</f>
        <v>0.016956501872044737</v>
      </c>
      <c r="C153" s="199">
        <f>C152+(C154-C152)*(B153-B152)*100</f>
        <v>0.017265196928206078</v>
      </c>
      <c r="D153" s="13">
        <f>ABS('TOIXOΣ OΠΛ. ΣKYP.'!G648)</f>
        <v>0.005629803569167228</v>
      </c>
      <c r="E153" s="199">
        <f>E152+(E154-E152)*(D153-D152)*100</f>
        <v>0.0056861016048589</v>
      </c>
      <c r="F153" s="13">
        <f>ABS('TOIXOΣ OΠΛ. ΣKYP.'!G649)</f>
        <v>0.0897188312411055</v>
      </c>
      <c r="G153" s="63">
        <f>G152+(G154-G152)*(F153-F152)*100</f>
        <v>0.0951879026776271</v>
      </c>
    </row>
    <row r="154" spans="2:7" ht="12.75">
      <c r="B154" s="13">
        <f>B152+0.01</f>
        <v>0.02</v>
      </c>
      <c r="C154" s="129">
        <f>VLOOKUP(B154,B90:J130,2)</f>
        <v>0.0204</v>
      </c>
      <c r="D154" s="13">
        <f>D152+0.01</f>
        <v>0.01</v>
      </c>
      <c r="E154" s="129">
        <f>VLOOKUP(D154,B90:J130,2)</f>
        <v>0.0101</v>
      </c>
      <c r="F154" s="13">
        <f>F152+0.01</f>
        <v>0.09</v>
      </c>
      <c r="G154" s="13">
        <f>VLOOKUP(F154,B90:J130,2)</f>
        <v>0.0955</v>
      </c>
    </row>
    <row r="183" ht="12.75">
      <c r="J183" s="10"/>
    </row>
    <row r="184" ht="12.75">
      <c r="J184" s="10"/>
    </row>
    <row r="185" spans="1:10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3" ht="12.75">
      <c r="A186" s="205">
        <f>'TOIXOΣ OΠΛ. ΣKYP.'!F9+'TOIXOΣ OΠΛ. ΣKYP.'!F7+'TOIXOΣ OΠΛ. ΣKYP.'!F24</f>
        <v>0.6749999999999999</v>
      </c>
      <c r="B186" s="122">
        <f>'TOIXOΣ OΠΛ. ΣKYP.'!F9-'TOIXOΣ OΠΛ. ΣKYP.'!F7*('TOIXOΣ OΠΛ. ΣKYP.'!F11+'TOIXOΣ OΠΛ. ΣKYP.'!F12)/'TOIXOΣ OΠΛ. ΣKYP.'!F14+'TOIXOΣ OΠΛ. ΣKYP.'!F24</f>
        <v>0.563135593220339</v>
      </c>
      <c r="C186"/>
      <c r="D186"/>
      <c r="E186"/>
      <c r="F186"/>
      <c r="H186" s="205">
        <f>'TOIXOΣ OΠΛ. ΣKYP.'!F9+'TOIXOΣ OΠΛ. ΣKYP.'!F7+'TOIXOΣ OΠΛ. ΣKYP.'!F24</f>
        <v>0.6749999999999999</v>
      </c>
      <c r="I186" s="122">
        <f>'TOIXOΣ OΠΛ. ΣKYP.'!F9-'TOIXOΣ OΠΛ. ΣKYP.'!F7*('TOIXOΣ OΠΛ. ΣKYP.'!F11+'TOIXOΣ OΠΛ. ΣKYP.'!F12)/'TOIXOΣ OΠΛ. ΣKYP.'!F14+'TOIXOΣ OΠΛ. ΣKYP.'!F24</f>
        <v>0.563135593220339</v>
      </c>
      <c r="J186" s="122">
        <f>I186</f>
        <v>0.563135593220339</v>
      </c>
      <c r="K186" s="205">
        <f>'TOIXOΣ OΠΛ. ΣKYP.'!F9+0.3</f>
        <v>0.8</v>
      </c>
      <c r="L186" s="223">
        <f>H186</f>
        <v>0.6749999999999999</v>
      </c>
      <c r="M186" s="223">
        <f>L186+0.12</f>
        <v>0.7949999999999999</v>
      </c>
    </row>
    <row r="187" spans="1:13" ht="12.75">
      <c r="A187" s="23">
        <f>'TOIXOΣ OΠΛ. ΣKYP.'!F5-'TOIXOΣ OΠΛ. ΣKYP.'!F24</f>
        <v>3.2249999999999996</v>
      </c>
      <c r="B187" s="122">
        <f>'TOIXOΣ OΠΛ. ΣKYP.'!F24</f>
        <v>0.075</v>
      </c>
      <c r="C187"/>
      <c r="D187"/>
      <c r="E187"/>
      <c r="F187"/>
      <c r="H187" s="23">
        <f>'TOIXOΣ OΠΛ. ΣKYP.'!F5-'TOIXOΣ OΠΛ. ΣKYP.'!F24</f>
        <v>3.2249999999999996</v>
      </c>
      <c r="I187" s="122">
        <v>0.15</v>
      </c>
      <c r="J187" s="122">
        <v>0.15</v>
      </c>
      <c r="K187" s="122">
        <v>0.15</v>
      </c>
      <c r="L187" s="223">
        <f>H187</f>
        <v>3.2249999999999996</v>
      </c>
      <c r="M187" s="223">
        <f>L187</f>
        <v>3.2249999999999996</v>
      </c>
    </row>
    <row r="189" spans="1:10" ht="12.75">
      <c r="A189" s="2">
        <f>'TOIXOΣ OΠΛ. ΣKYP.'!F24</f>
        <v>0.075</v>
      </c>
      <c r="B189" s="2">
        <f>A189</f>
        <v>0.075</v>
      </c>
      <c r="C189" s="11">
        <f>'TOIXOΣ OΠΛ. ΣKYP.'!F24</f>
        <v>0.075</v>
      </c>
      <c r="D189" s="23">
        <f>'TOIXOΣ OΠΛ. ΣKYP.'!F9</f>
        <v>0.5</v>
      </c>
      <c r="E189" s="23">
        <f>D189</f>
        <v>0.5</v>
      </c>
      <c r="F189" s="23">
        <f>'TOIXOΣ OΠΛ. ΣKYP.'!F9+'TOIXOΣ OΠΛ. ΣKYP.'!F8-'TOIXOΣ OΠΛ. ΣKYP.'!F24</f>
        <v>0.7250000000000001</v>
      </c>
      <c r="G189" s="23">
        <f>F189</f>
        <v>0.7250000000000001</v>
      </c>
      <c r="H189" s="23">
        <f>'TOIXOΣ OΠΛ. ΣKYP.'!F15-'TOIXOΣ OΠΛ. ΣKYP.'!F24</f>
        <v>2.325</v>
      </c>
      <c r="I189" s="23">
        <f>H189</f>
        <v>2.325</v>
      </c>
      <c r="J189" s="23">
        <f>I189</f>
        <v>2.325</v>
      </c>
    </row>
    <row r="190" spans="1:10" ht="12.75">
      <c r="A190" s="196">
        <f>'TOIXOΣ OΠΛ. ΣKYP.'!$F$11-0.1</f>
        <v>0.15</v>
      </c>
      <c r="B190" s="196">
        <f>'TOIXOΣ OΠΛ. ΣKYP.'!F11-'TOIXOΣ OΠΛ. ΣKYP.'!F24</f>
        <v>0.175</v>
      </c>
      <c r="C190" s="23">
        <f>'TOIXOΣ OΠΛ. ΣKYP.'!F11-'TOIXOΣ OΠΛ. ΣKYP.'!F24</f>
        <v>0.175</v>
      </c>
      <c r="D190" s="23">
        <f>'TOIXOΣ OΠΛ. ΣKYP.'!F13-'TOIXOΣ OΠΛ. ΣKYP.'!F24</f>
        <v>0.27499999999999997</v>
      </c>
      <c r="E190" s="23">
        <f>D190</f>
        <v>0.27499999999999997</v>
      </c>
      <c r="F190" s="23">
        <f>E190</f>
        <v>0.27499999999999997</v>
      </c>
      <c r="G190" s="23">
        <f>F190</f>
        <v>0.27499999999999997</v>
      </c>
      <c r="H190" s="23">
        <f>'TOIXOΣ OΠΛ. ΣKYP.'!F11-'TOIXOΣ OΠΛ. ΣKYP.'!F24</f>
        <v>0.175</v>
      </c>
      <c r="I190" s="23">
        <f>H190</f>
        <v>0.175</v>
      </c>
      <c r="J190" s="23">
        <f>'TOIXOΣ OΠΛ. ΣKYP.'!$F$11-0.1</f>
        <v>0.15</v>
      </c>
    </row>
    <row r="192" spans="1:8" ht="12.75">
      <c r="A192" s="23">
        <f>'TOIXOΣ OΠΛ. ΣKYP.'!F9+'TOIXOΣ OΠΛ. ΣKYP.'!F8-'TOIXOΣ OΠΛ. ΣKYP.'!F24</f>
        <v>0.7250000000000001</v>
      </c>
      <c r="B192" s="23">
        <f>'TOIXOΣ OΠΛ. ΣKYP.'!F9+'TOIXOΣ OΠΛ. ΣKYP.'!F8-'TOIXOΣ OΠΛ. ΣKYP.'!F24</f>
        <v>0.7250000000000001</v>
      </c>
      <c r="C192" s="23">
        <f>B192</f>
        <v>0.7250000000000001</v>
      </c>
      <c r="D192" s="23">
        <f>C192</f>
        <v>0.7250000000000001</v>
      </c>
      <c r="E192" s="23">
        <f>C192</f>
        <v>0.7250000000000001</v>
      </c>
      <c r="F192" s="23">
        <f>E192-0.2</f>
        <v>0.5250000000000001</v>
      </c>
      <c r="G192" s="196">
        <f>D192</f>
        <v>0.7250000000000001</v>
      </c>
      <c r="H192" s="196">
        <f>G192-0.12</f>
        <v>0.6050000000000001</v>
      </c>
    </row>
    <row r="193" spans="1:8" ht="12.75">
      <c r="A193" s="11">
        <f>'TOIXOΣ OΠΛ. ΣKYP.'!F24</f>
        <v>0.075</v>
      </c>
      <c r="B193" s="11">
        <f>'TOIXOΣ OΠΛ. ΣKYP.'!F24</f>
        <v>0.075</v>
      </c>
      <c r="C193" s="11">
        <v>0.1</v>
      </c>
      <c r="D193" s="23">
        <f>'TOIXOΣ OΠΛ. ΣKYP.'!F5-'TOIXOΣ OΠΛ. ΣKYP.'!F24-0.05</f>
        <v>3.175</v>
      </c>
      <c r="E193" s="11">
        <v>0.1</v>
      </c>
      <c r="F193" s="11">
        <f>E193</f>
        <v>0.1</v>
      </c>
      <c r="G193" s="196">
        <f>D193</f>
        <v>3.175</v>
      </c>
      <c r="H193" s="196">
        <f>G193</f>
        <v>3.175</v>
      </c>
    </row>
    <row r="195" spans="1:6" ht="12.75">
      <c r="A195" s="11">
        <f>'TOIXOΣ OΠΛ. ΣKYP.'!F24</f>
        <v>0.075</v>
      </c>
      <c r="B195" s="11">
        <f>'TOIXOΣ OΠΛ. ΣKYP.'!F24</f>
        <v>0.075</v>
      </c>
      <c r="C195" s="11">
        <f>B195</f>
        <v>0.075</v>
      </c>
      <c r="D195" s="23">
        <f>'TOIXOΣ OΠΛ. ΣKYP.'!F15-'TOIXOΣ OΠΛ. ΣKYP.'!F24</f>
        <v>2.325</v>
      </c>
      <c r="E195" s="23">
        <f>D195</f>
        <v>2.325</v>
      </c>
      <c r="F195" s="23">
        <f>E195</f>
        <v>2.325</v>
      </c>
    </row>
    <row r="196" spans="1:6" ht="12.75">
      <c r="A196" s="11">
        <v>0.1</v>
      </c>
      <c r="B196" s="11">
        <f>'TOIXOΣ OΠΛ. ΣKYP.'!F24</f>
        <v>0.075</v>
      </c>
      <c r="C196" s="11">
        <f>B196</f>
        <v>0.075</v>
      </c>
      <c r="D196" s="11">
        <f>'TOIXOΣ OΠΛ. ΣKYP.'!F24</f>
        <v>0.075</v>
      </c>
      <c r="E196" s="11">
        <f>D196</f>
        <v>0.075</v>
      </c>
      <c r="F196" s="11">
        <v>0.1</v>
      </c>
    </row>
    <row r="198" spans="1:15" ht="12.75">
      <c r="A198" s="23">
        <f>'TOIXOΣ OΠΛ. ΣKYP.'!F9+'TOIXOΣ OΠΛ. ΣKYP.'!F8-1.5*'TOIXOΣ OΠΛ. ΣKYP.'!F24</f>
        <v>0.6875</v>
      </c>
      <c r="B198" s="23">
        <f aca="true" t="shared" si="0" ref="B198:H198">A198</f>
        <v>0.6875</v>
      </c>
      <c r="C198" s="23">
        <f t="shared" si="0"/>
        <v>0.6875</v>
      </c>
      <c r="D198" s="23">
        <f t="shared" si="0"/>
        <v>0.6875</v>
      </c>
      <c r="E198" s="23">
        <f t="shared" si="0"/>
        <v>0.6875</v>
      </c>
      <c r="F198" s="23">
        <f t="shared" si="0"/>
        <v>0.6875</v>
      </c>
      <c r="G198" s="23">
        <f t="shared" si="0"/>
        <v>0.6875</v>
      </c>
      <c r="H198" s="23">
        <f t="shared" si="0"/>
        <v>0.6875</v>
      </c>
      <c r="I198"/>
      <c r="J198"/>
      <c r="K198"/>
      <c r="L198"/>
      <c r="M198"/>
      <c r="N198"/>
      <c r="O198"/>
    </row>
    <row r="199" spans="1:15" ht="12.75">
      <c r="A199" s="23">
        <f>'TOIXOΣ OΠΛ. ΣKYP.'!F8+0.2</f>
        <v>0.5</v>
      </c>
      <c r="B199" s="23">
        <f aca="true" t="shared" si="1" ref="B199:H199">A199+0.2</f>
        <v>0.7</v>
      </c>
      <c r="C199" s="23">
        <f t="shared" si="1"/>
        <v>0.8999999999999999</v>
      </c>
      <c r="D199" s="23">
        <f t="shared" si="1"/>
        <v>1.0999999999999999</v>
      </c>
      <c r="E199" s="23">
        <f t="shared" si="1"/>
        <v>1.2999999999999998</v>
      </c>
      <c r="F199" s="23">
        <f t="shared" si="1"/>
        <v>1.4999999999999998</v>
      </c>
      <c r="G199" s="23">
        <f t="shared" si="1"/>
        <v>1.6999999999999997</v>
      </c>
      <c r="H199" s="23">
        <f t="shared" si="1"/>
        <v>1.8999999999999997</v>
      </c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9" ht="12.75">
      <c r="A201" s="23">
        <f>'TOIXOΣ OΠΛ. ΣKYP.'!F9+'TOIXOΣ OΠΛ. ΣKYP.'!F24+0.045</f>
        <v>0.62</v>
      </c>
      <c r="B201" s="11">
        <f>'TOIXOΣ OΠΛ. ΣKYP.'!F24+'TOIXOΣ OΠΛ. ΣKYP.'!F9+'TOIXOΣ OΠΛ. ΣKYP.'!F7*(ΠINAKEΣ!A202-'TOIXOΣ OΠΛ. ΣKYP.'!F13)/'TOIXOΣ OΠΛ. ΣKYP.'!F14+0.04</f>
        <v>0.6200847457627119</v>
      </c>
      <c r="C201" s="11">
        <f>'TOIXOΣ OΠΛ. ΣKYP.'!F9+'TOIXOΣ OΠΛ. ΣKYP.'!F24+'TOIXOΣ OΠΛ. ΣKYP.'!F7*(ΠINAKEΣ!B202-'TOIXOΣ OΠΛ. ΣKYP.'!F13)/'TOIXOΣ OΠΛ. ΣKYP.'!F14+0.04</f>
        <v>0.626864406779661</v>
      </c>
      <c r="D201" s="11">
        <f>'TOIXOΣ OΠΛ. ΣKYP.'!F9+'TOIXOΣ OΠΛ. ΣKYP.'!F24+'TOIXOΣ OΠΛ. ΣKYP.'!F7*(ΠINAKEΣ!C202-'TOIXOΣ OΠΛ. ΣKYP.'!F13)/'TOIXOΣ OΠΛ. ΣKYP.'!F14+0.04</f>
        <v>0.6336440677966102</v>
      </c>
      <c r="E201" s="11">
        <f>'TOIXOΣ OΠΛ. ΣKYP.'!F9+'TOIXOΣ OΠΛ. ΣKYP.'!F24+'TOIXOΣ OΠΛ. ΣKYP.'!F7*(ΠINAKEΣ!D202-'TOIXOΣ OΠΛ. ΣKYP.'!F13)/'TOIXOΣ OΠΛ. ΣKYP.'!F14+0.04</f>
        <v>0.6404237288135594</v>
      </c>
      <c r="F201" s="11">
        <f>'TOIXOΣ OΠΛ. ΣKYP.'!F9+'TOIXOΣ OΠΛ. ΣKYP.'!F24+'TOIXOΣ OΠΛ. ΣKYP.'!F7*(ΠINAKEΣ!E202-'TOIXOΣ OΠΛ. ΣKYP.'!F13)/'TOIXOΣ OΠΛ. ΣKYP.'!F14+0.04</f>
        <v>0.6472033898305085</v>
      </c>
      <c r="G201" s="11">
        <f>'TOIXOΣ OΠΛ. ΣKYP.'!F9+'TOIXOΣ OΠΛ. ΣKYP.'!F24+'TOIXOΣ OΠΛ. ΣKYP.'!F7*(ΠINAKEΣ!F202-'TOIXOΣ OΠΛ. ΣKYP.'!F13)/'TOIXOΣ OΠΛ. ΣKYP.'!F14+0.04</f>
        <v>0.6539830508474577</v>
      </c>
      <c r="H201" s="11">
        <f>'TOIXOΣ OΠΛ. ΣKYP.'!F9+'TOIXOΣ OΠΛ. ΣKYP.'!F24+'TOIXOΣ OΠΛ. ΣKYP.'!F7*(ΠINAKEΣ!G202-'TOIXOΣ OΠΛ. ΣKYP.'!F13)/'TOIXOΣ OΠΛ. ΣKYP.'!F14+0.04</f>
        <v>0.6607627118644068</v>
      </c>
      <c r="I201"/>
    </row>
    <row r="202" spans="1:9" ht="12.75">
      <c r="A202" s="23">
        <f>'TOIXOΣ OΠΛ. ΣKYP.'!F8+0.2</f>
        <v>0.5</v>
      </c>
      <c r="B202" s="23">
        <f aca="true" t="shared" si="2" ref="B202:H202">A202+0.2</f>
        <v>0.7</v>
      </c>
      <c r="C202" s="23">
        <f t="shared" si="2"/>
        <v>0.8999999999999999</v>
      </c>
      <c r="D202" s="23">
        <f t="shared" si="2"/>
        <v>1.0999999999999999</v>
      </c>
      <c r="E202" s="23">
        <f t="shared" si="2"/>
        <v>1.2999999999999998</v>
      </c>
      <c r="F202" s="23">
        <f t="shared" si="2"/>
        <v>1.4999999999999998</v>
      </c>
      <c r="G202" s="23">
        <f t="shared" si="2"/>
        <v>1.6999999999999997</v>
      </c>
      <c r="H202" s="23">
        <f t="shared" si="2"/>
        <v>1.8999999999999997</v>
      </c>
      <c r="I202"/>
    </row>
    <row r="204" spans="1:5" ht="12.75">
      <c r="A204" s="11">
        <v>0.5</v>
      </c>
      <c r="B204" s="11">
        <f>A204+0.2</f>
        <v>0.7</v>
      </c>
      <c r="C204" s="11">
        <f>B204+0.2</f>
        <v>0.8999999999999999</v>
      </c>
      <c r="D204" s="11">
        <f>C204+0.2</f>
        <v>1.0999999999999999</v>
      </c>
      <c r="E204" s="11">
        <f>D204+0.2</f>
        <v>1.2999999999999998</v>
      </c>
    </row>
    <row r="205" spans="1:5" ht="12.75">
      <c r="A205" s="11">
        <v>0.09</v>
      </c>
      <c r="B205" s="11">
        <v>0.09</v>
      </c>
      <c r="C205" s="11">
        <v>0.09</v>
      </c>
      <c r="D205" s="11">
        <v>0.09</v>
      </c>
      <c r="E205" s="11">
        <v>0.09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Mιχαήλ Kουϊμτζής</dc:creator>
  <cp:keywords/>
  <dc:description/>
  <cp:lastModifiedBy>UNIWA</cp:lastModifiedBy>
  <cp:lastPrinted>2007-10-04T08:11:38Z</cp:lastPrinted>
  <dcterms:created xsi:type="dcterms:W3CDTF">2005-12-08T02:05:23Z</dcterms:created>
  <dcterms:modified xsi:type="dcterms:W3CDTF">2021-01-08T07:34:47Z</dcterms:modified>
  <cp:category/>
  <cp:version/>
  <cp:contentType/>
  <cp:contentStatus/>
</cp:coreProperties>
</file>