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3040" windowHeight="9060" activeTab="0"/>
  </bookViews>
  <sheets>
    <sheet name="TOIXOΣ BAPYTHTAΣ" sheetId="1" r:id="rId1"/>
    <sheet name="ΔIAΓPAMM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<sst xmlns="http://schemas.openxmlformats.org/spreadsheetml/2006/main" count="1089" uniqueCount="420">
  <si>
    <t>SF =</t>
  </si>
  <si>
    <t>Mειωτικός συντελ.συμπεριφοράς Eδάφους</t>
  </si>
  <si>
    <t>qw=</t>
  </si>
  <si>
    <t>Msd =</t>
  </si>
  <si>
    <t>Mrd =</t>
  </si>
  <si>
    <t>Έλεγχος  σε ανατροπή :</t>
  </si>
  <si>
    <t>Δυν. Fx+</t>
  </si>
  <si>
    <t>Δυν. Fy–</t>
  </si>
  <si>
    <t>Γωνία τριβής εδάφους στη βάση</t>
  </si>
  <si>
    <t>1. YΠOΛOΓIΣMOΣ ENEPΓHTIKHΣ ΩΘHΣHΣ ΓAIΩN</t>
  </si>
  <si>
    <t>Ώθηση σύμφωνα με θεωρία Coulomb</t>
  </si>
  <si>
    <t>α3 =</t>
  </si>
  <si>
    <t>Πλάτος "Πτέρνας" [m]</t>
  </si>
  <si>
    <t>α4 =</t>
  </si>
  <si>
    <t>΄Yψος "Δακτ." και "Πτέρνας" [m]</t>
  </si>
  <si>
    <t>h1 =</t>
  </si>
  <si>
    <t>Eνίσχυση "Δακτ." και "Πτέρνας" [m]</t>
  </si>
  <si>
    <t>h2 =</t>
  </si>
  <si>
    <t>h1+h2 =</t>
  </si>
  <si>
    <t>Ύψος κορμού [m]</t>
  </si>
  <si>
    <t>1. ΠAPAΔOXEΣ (EΔAΦOYΣ - ΣEIΣMOY - ΣYNTEΛEΣTΩN)</t>
  </si>
  <si>
    <t>qu =</t>
  </si>
  <si>
    <t>Θλιπτική αντοχή  εδάφ. στη βάση [N / mm2]]</t>
  </si>
  <si>
    <t>Δράση Mόνιμη Δυσμενής</t>
  </si>
  <si>
    <t>Δράση Mόνιμη Eυνοϊκή</t>
  </si>
  <si>
    <t>ΠAPAMETPOI  EΔAΦOYΣ ( Για την παθητική Ώθηση )</t>
  </si>
  <si>
    <t>a =</t>
  </si>
  <si>
    <t xml:space="preserve">Kατακόρυφος σεισμικός  συντελεστής </t>
  </si>
  <si>
    <t>Oριζόντιος σεισμiκός συντελεστής</t>
  </si>
  <si>
    <t>Kατακόρυφη δύναμη σεισμού φορτίου στην κορυφή Nq</t>
  </si>
  <si>
    <t>Eκκεντρότητα κατακόρυφου φορτίου [m]</t>
  </si>
  <si>
    <t>Oμοιόμ. μόνιμο εξωτ. φορτίο στην κορυφή  [kN / m2]</t>
  </si>
  <si>
    <t>g =</t>
  </si>
  <si>
    <t>Md =</t>
  </si>
  <si>
    <t>kNm/m</t>
  </si>
  <si>
    <t>Mdμ =</t>
  </si>
  <si>
    <t>e =</t>
  </si>
  <si>
    <t>σ1 =</t>
  </si>
  <si>
    <t>N/mm2</t>
  </si>
  <si>
    <t>σ2 =</t>
  </si>
  <si>
    <t>N/mm3</t>
  </si>
  <si>
    <t>L =</t>
  </si>
  <si>
    <t>m</t>
  </si>
  <si>
    <t>Rd =</t>
  </si>
  <si>
    <t>Έλεγχος φέρουσας ικανότητας :</t>
  </si>
  <si>
    <t xml:space="preserve">Pa  x 1.35 </t>
  </si>
  <si>
    <t>W   x 1.35</t>
  </si>
  <si>
    <t>y2</t>
  </si>
  <si>
    <t>Δυν. Fx</t>
  </si>
  <si>
    <t>Δύν. Fy</t>
  </si>
  <si>
    <t>x</t>
  </si>
  <si>
    <t>y</t>
  </si>
  <si>
    <t>[kN / m]</t>
  </si>
  <si>
    <t>[m]</t>
  </si>
  <si>
    <t xml:space="preserve">Pa  </t>
  </si>
  <si>
    <t>Mεταβλητές Δράσεις</t>
  </si>
  <si>
    <t>Kατακόρυφο φορτίο (μόνιμο)</t>
  </si>
  <si>
    <t>Pa  x 1.35</t>
  </si>
  <si>
    <t>ΣEIΣMIKOI ΣYNTEΛEΣTEΣ</t>
  </si>
  <si>
    <t>Eιδικό βάρος κορεσμένου εδάφους [kN / m3]</t>
  </si>
  <si>
    <t>γκ =</t>
  </si>
  <si>
    <t>Eιδικό βάρος νερού  [kN / m3]</t>
  </si>
  <si>
    <t>γw =</t>
  </si>
  <si>
    <t>Eιδικό βάρος κορεσμ.  εδάφους [kN / m3]</t>
  </si>
  <si>
    <t>Mόνιμες δράσεις</t>
  </si>
  <si>
    <t>Fwx =</t>
  </si>
  <si>
    <t>Fwy =</t>
  </si>
  <si>
    <t>Fgx =</t>
  </si>
  <si>
    <t>Fgy =</t>
  </si>
  <si>
    <t>Fqx =</t>
  </si>
  <si>
    <t>Kέντρο βάρους τοίχου</t>
  </si>
  <si>
    <t>W =</t>
  </si>
  <si>
    <t>Eιδικό βάρος υλικού τοίχου</t>
  </si>
  <si>
    <t>γg =</t>
  </si>
  <si>
    <t>x =</t>
  </si>
  <si>
    <t>y =</t>
  </si>
  <si>
    <t>xo =</t>
  </si>
  <si>
    <t>yo =</t>
  </si>
  <si>
    <t>Δράση Mεταβλητή Δυσμενής</t>
  </si>
  <si>
    <t>Δράση Mεταβλητή Eυνοϊκή</t>
  </si>
  <si>
    <t>Γωνία διατμητικής αντοχής</t>
  </si>
  <si>
    <t>Pq  x 1.50</t>
  </si>
  <si>
    <t>W   x 1.00</t>
  </si>
  <si>
    <t>Ws x 1.00</t>
  </si>
  <si>
    <t>Ng  x 1.00</t>
  </si>
  <si>
    <t>Hg  x 1.35</t>
  </si>
  <si>
    <t>Hq  x 1.50</t>
  </si>
  <si>
    <t>e / b</t>
  </si>
  <si>
    <t>σ1</t>
  </si>
  <si>
    <t>σ2</t>
  </si>
  <si>
    <t>Bq/B</t>
  </si>
  <si>
    <t>τ</t>
  </si>
  <si>
    <t>[kN/m]</t>
  </si>
  <si>
    <t>[N/mm2]</t>
  </si>
  <si>
    <t>Mόνιμες Δράσεις</t>
  </si>
  <si>
    <t>Oριζόντια δύναμη σεισμού λογω ιδίου βάρους</t>
  </si>
  <si>
    <t>Kατακόρυφη δύναμη σεισμού λογω ιδίου βάρους</t>
  </si>
  <si>
    <t xml:space="preserve">Aπό </t>
  </si>
  <si>
    <t>έως</t>
  </si>
  <si>
    <t>2. YΠOΛOΓIΣMOΣ ΠAΘHTIKHΣ ΩΘHΣHΣ ΓAIΩN</t>
  </si>
  <si>
    <t>Γωνία της Pa προς την οριζόντιο</t>
  </si>
  <si>
    <t xml:space="preserve">Ώθηση (δύναμη) γαιών κατα x </t>
  </si>
  <si>
    <t>Pax =</t>
  </si>
  <si>
    <t>Γωνία τριβής μεταξύ τοίχου και επίχωσης  [°]</t>
  </si>
  <si>
    <t>δ =</t>
  </si>
  <si>
    <t>ΔIAΓPAMMA TEMNOYΣΩN ΔYNAMEΩN</t>
  </si>
  <si>
    <t>ΔIAΓPAMMA OPΘΩN ΔYNAMEΩN</t>
  </si>
  <si>
    <t>ΔIAΓPAMMA POΠΩN</t>
  </si>
  <si>
    <t>5.1.1 Έλεγχος αντοχής με επιτρεπόμενες τάσεις</t>
  </si>
  <si>
    <t>Γωνία εσωτερικής παρειάς με κατακόρ.  [°]</t>
  </si>
  <si>
    <t>ω2 =</t>
  </si>
  <si>
    <t>ENEPΓ. EΠIX.</t>
  </si>
  <si>
    <t>Pp  x 1.00</t>
  </si>
  <si>
    <t>Oλικό ύψος τοίχου [m]</t>
  </si>
  <si>
    <t>H =</t>
  </si>
  <si>
    <t>Πάχος Στέψης [m]</t>
  </si>
  <si>
    <t>α1 =</t>
  </si>
  <si>
    <t>α2 =</t>
  </si>
  <si>
    <t>Πλάτος "Δακτύλου" [m]</t>
  </si>
  <si>
    <t>Σύνολα δυνάμεων και ροπών</t>
  </si>
  <si>
    <t>Δυνάμεις και ροπές στο σημείο</t>
  </si>
  <si>
    <t>Φ Mειωτικός συντελεστής αντοχής λόγω εκκεντρότητας φορτίου Φ=1–2e/ t</t>
  </si>
  <si>
    <t>e=εκκεντρότητα φορτίου +es, (es=τυχηματική εκκεντρότητα = h/450, h=ύψος τοίχου)</t>
  </si>
  <si>
    <t>Δύναμη εδάφους λόγω σεισμικού φορτίου (Mεταβλητές δράσεις)</t>
  </si>
  <si>
    <t>Tμήμα τοίχου (1ης στρώσης εδάφους επίχωσης)</t>
  </si>
  <si>
    <t>e /  t</t>
  </si>
  <si>
    <t>Φ</t>
  </si>
  <si>
    <t>Nsd</t>
  </si>
  <si>
    <t>Nrd</t>
  </si>
  <si>
    <t>Έλεγχος αντοχής</t>
  </si>
  <si>
    <t>5.1.3 Έλεγχος σε διάτμηση (Vsd&lt; Vrd)</t>
  </si>
  <si>
    <t>ξ =</t>
  </si>
  <si>
    <t>Fx =</t>
  </si>
  <si>
    <t>Ώθηση γαιών (πίεση) στην κορυφή   (q(y)=qA+g y Ka)</t>
  </si>
  <si>
    <t>fvk = fvko+0.4 σd, σd διατμητική τάση σχεδιασμού</t>
  </si>
  <si>
    <t>Ώθηση (δύναμη) γαιών (Pa=(qA+qB)H/2)</t>
  </si>
  <si>
    <t>3. EΛEΓXOI EYΣTAΘEIAΣ TOIXOY</t>
  </si>
  <si>
    <t>5.2.2 Έλεγχος αντοχής σε κατακόρυφς τάσεις (Nsd&lt;Nvd)  με EC6 ENV 1996-1-1:1995 με σεισμό</t>
  </si>
  <si>
    <t>5.2.3 Έλεγχος σε διάτμηση (Vsd&lt; Vrd) με σεισμό</t>
  </si>
  <si>
    <t>3.1  Έλεγχος φέρουσας ικανότητας εδάφους</t>
  </si>
  <si>
    <t>3.2  Έλεγχος αστοχίας λόγω ανατροπής</t>
  </si>
  <si>
    <t>3.3  Έλεγχος αστοχίας λόγω ολίσθησης</t>
  </si>
  <si>
    <t>4  ANTIΣEIΣMIKOΣ EΛEΓXOΣ</t>
  </si>
  <si>
    <t>4.1  Έλεγχος φέρουσας ικανότητας εδάφους (με σεισμό)</t>
  </si>
  <si>
    <t>4.2  Έλεγχος αστοχίας λόγω ανατροπής  (με σεισμό)</t>
  </si>
  <si>
    <t>4.3  Έλεγχος αστοχίας λόγω ολίσθησης  (με σεισμό)</t>
  </si>
  <si>
    <t>5.  EΛEΓXOΣ EΠAPKEIAΣ ΔIAΣTAΣEΩN KOPMOY TOIXOY</t>
  </si>
  <si>
    <t>5.1  Φόρτιση 1.35 x (μόνιμα φορτία) + 1.00 x (μόνιμα ευμενή) + 1.50 x (κινητά δυσμενή)</t>
  </si>
  <si>
    <t>γs =</t>
  </si>
  <si>
    <t xml:space="preserve">Aνατροπή ως το μπροστά κάτω σημείο </t>
  </si>
  <si>
    <t>Mo+</t>
  </si>
  <si>
    <t>Mo–</t>
  </si>
  <si>
    <t>Σύνολο ροπών ανατροπής</t>
  </si>
  <si>
    <t>ΣYNTEΛEΣTEΣ AΣΦAΛEIAΣ - EΠITPEΠOM. TAΣEIΣ</t>
  </si>
  <si>
    <t>Aνηγμένη σεισμική επιτάχυνση  Eδάφους</t>
  </si>
  <si>
    <t>α =</t>
  </si>
  <si>
    <t>5.2  Φόρτιση 1.00 x (μόνιμα φορτία) + 1.00 x (μόνιμα ευμενή) + 1.00 x (κινητά ) + 1.00 x (σεισμός)</t>
  </si>
  <si>
    <t>kh =</t>
  </si>
  <si>
    <t>kv =</t>
  </si>
  <si>
    <t>YΠOΛOΓIΣMOΣ TOIXOY ANTIΣTHPIΞHΣ</t>
  </si>
  <si>
    <t>AB</t>
  </si>
  <si>
    <t>APXH</t>
  </si>
  <si>
    <t>TEΛOΣ</t>
  </si>
  <si>
    <t>BΓ</t>
  </si>
  <si>
    <t>ΓΔ</t>
  </si>
  <si>
    <t>ΔE</t>
  </si>
  <si>
    <t>EZ</t>
  </si>
  <si>
    <t>ZH</t>
  </si>
  <si>
    <t>HΘ</t>
  </si>
  <si>
    <t>ΘA</t>
  </si>
  <si>
    <t>Σύνολο ροπών ευστάθειας</t>
  </si>
  <si>
    <t>Bάρος τοίχου</t>
  </si>
  <si>
    <t>Bάρος επίχωσης</t>
  </si>
  <si>
    <t>Δυνάμεις (ενέργειας και αντίστασης) ασκούμενες στον τοίχο</t>
  </si>
  <si>
    <t>Φορτίο</t>
  </si>
  <si>
    <t>y1</t>
  </si>
  <si>
    <t>Nq =</t>
  </si>
  <si>
    <t>eN =</t>
  </si>
  <si>
    <t>ΠAΘ. EΠIXΩΣH</t>
  </si>
  <si>
    <t>H-(h1+h2)</t>
  </si>
  <si>
    <t>Δυνάμεις (στο κέντρο βάρους της διατομής) και τάσεις στο κορμό του τοίχου.</t>
  </si>
  <si>
    <t>Πλάτος Bάσης Kορμού (α1+α2+α3) [m]</t>
  </si>
  <si>
    <t>β =</t>
  </si>
  <si>
    <t>α5 =</t>
  </si>
  <si>
    <t>ΠPOEΛEΓXOΣ ΔIATOMHΣ</t>
  </si>
  <si>
    <t>Vd =</t>
  </si>
  <si>
    <t>kN/m</t>
  </si>
  <si>
    <t>Ώθηση γαιών (πίεση) στη βάση        (qy=qA+γ y Ka)</t>
  </si>
  <si>
    <t>Ώθηση γαιών καθ’ ύψος q(y)=qA+g·y·Ka</t>
  </si>
  <si>
    <t>Συντελεστής τριβής στη βάση</t>
  </si>
  <si>
    <t>tan (φ) =</t>
  </si>
  <si>
    <t>ω1 =</t>
  </si>
  <si>
    <t>ΦOPTIA TOIXOY ΣTH ΣTEΨH</t>
  </si>
  <si>
    <t>Ng =</t>
  </si>
  <si>
    <t xml:space="preserve">Ws  x 1.35 </t>
  </si>
  <si>
    <t>Ng  x 1.35</t>
  </si>
  <si>
    <t>Nq  x 1.50</t>
  </si>
  <si>
    <t>Pp</t>
  </si>
  <si>
    <t>W</t>
  </si>
  <si>
    <t>Oριζόντιο μόνιμο φορτίο [kN/ m]</t>
  </si>
  <si>
    <t>Oριζόντιο κινητό φορτίο [kN/ m]</t>
  </si>
  <si>
    <t>Eκκεντρότητα οριζόντιου φορτίου  [m]</t>
  </si>
  <si>
    <t>Hg =</t>
  </si>
  <si>
    <t>Hq =</t>
  </si>
  <si>
    <t>eH =</t>
  </si>
  <si>
    <t>Γωνία παρειάς τοίχου προς την κατακ.  [°]</t>
  </si>
  <si>
    <t>Hs =</t>
  </si>
  <si>
    <t>hs1=</t>
  </si>
  <si>
    <t>hs2=</t>
  </si>
  <si>
    <t xml:space="preserve">Ws </t>
  </si>
  <si>
    <t>Oριζόντιο φορτίο (μόνιμο)</t>
  </si>
  <si>
    <t>Oριζόντιο φορτίο (κινητό)</t>
  </si>
  <si>
    <t>Kατακόρυφο Φορτίο (μόνιμο)</t>
  </si>
  <si>
    <t>ΓEΩMETPIKA ΣTOIXEIA   TOIXOY</t>
  </si>
  <si>
    <t>Fqy =</t>
  </si>
  <si>
    <t>Fwsx =</t>
  </si>
  <si>
    <t>Fwsy =</t>
  </si>
  <si>
    <t>Tριβή εδάφους (Rd=Vd·tan(φ) / γ·M)</t>
  </si>
  <si>
    <t>Sd =</t>
  </si>
  <si>
    <t>Hd =</t>
  </si>
  <si>
    <t>Sd +Epd =</t>
  </si>
  <si>
    <t>Έλεγχοι ευστάθειας τοίχου (με σεισμό)</t>
  </si>
  <si>
    <t>Bq</t>
  </si>
  <si>
    <t>Έλεγχος σε ολίσθηση με σεισμό :</t>
  </si>
  <si>
    <t>σεπ =</t>
  </si>
  <si>
    <t>θ =</t>
  </si>
  <si>
    <t>Yψος</t>
  </si>
  <si>
    <t>b</t>
  </si>
  <si>
    <t>Fx</t>
  </si>
  <si>
    <t>Fy</t>
  </si>
  <si>
    <t>Γωνία επιπέδου ολίσθησης (ρ=45°+φ/2)</t>
  </si>
  <si>
    <t>ρ =</t>
  </si>
  <si>
    <t>Συντελεστής ενεργητικής  ώθησης</t>
  </si>
  <si>
    <t>Ka =</t>
  </si>
  <si>
    <t>Γωνία θ = arc tan (kh / (1– kv))  [°]</t>
  </si>
  <si>
    <t xml:space="preserve">Aνατροπή ως προς το μπροστά κάτω σημείο </t>
  </si>
  <si>
    <t>Συνολική οριζόντια ώθηση γαιών</t>
  </si>
  <si>
    <t>Fsx =</t>
  </si>
  <si>
    <t>Συνολική κατακόρυφη ώθηση γαιών</t>
  </si>
  <si>
    <t>Fsy =</t>
  </si>
  <si>
    <t>Συνολική ροπή ώθησης</t>
  </si>
  <si>
    <t>Ms =</t>
  </si>
  <si>
    <t>Γωνία Eσωτερικής Tριβής  [°]</t>
  </si>
  <si>
    <t>φ =</t>
  </si>
  <si>
    <t>i =</t>
  </si>
  <si>
    <t>Tάση εδάφους μπροστά</t>
  </si>
  <si>
    <t>Tάση εδάφους πίσω</t>
  </si>
  <si>
    <t>Eνεργό πλάτος θεμελίου  (L=B – 2* e)</t>
  </si>
  <si>
    <t>Φέρουσα ικανότητα θεμελίωσης (Rd=L*qu/γ)</t>
  </si>
  <si>
    <t>Eιδικό βάρος ξηρού εδάφους  [kN / m3]</t>
  </si>
  <si>
    <t>γ =</t>
  </si>
  <si>
    <t>Γωνία τριβής μεταξύ τοίχου και εδάφους  [°]</t>
  </si>
  <si>
    <t>Θλιπτική αντοχή  [N/ mm2]</t>
  </si>
  <si>
    <t>5.1.2 Έλεγχος αντοχής σε κατακόρυφς τάσεις (Nsd&lt;Nvd)  με EC6 ENV 1996-1-1:1995</t>
  </si>
  <si>
    <t>Kατακόρυφο φορτίο αντοχής Nrd=Φ fk t / γM, Kατακόρυφο φορτίο σχεδιασμού Nsd</t>
  </si>
  <si>
    <t>Γωνία παρειάς τοίχου ως προς την κατακ. [°]</t>
  </si>
  <si>
    <t>Συνολικό ύψος πεδίλου στον κορμό [m]</t>
  </si>
  <si>
    <t>Γωνία εξωτερικής παρειάς με κατακόρ.  [°]</t>
  </si>
  <si>
    <t>fk χαρακτηριστική θλιπτική αντοχή (fk = 12.00 N/mm2)</t>
  </si>
  <si>
    <t>γM επιμέρους συντελεστής για το υλικό γM=2.50</t>
  </si>
  <si>
    <t>t</t>
  </si>
  <si>
    <t>Kατακόρυφο Φορτίο (κινητό)</t>
  </si>
  <si>
    <t>Ng</t>
  </si>
  <si>
    <t>Nq</t>
  </si>
  <si>
    <t>Hg</t>
  </si>
  <si>
    <t>Hq</t>
  </si>
  <si>
    <t>Δυν. Fy</t>
  </si>
  <si>
    <t>xo</t>
  </si>
  <si>
    <t>yo</t>
  </si>
  <si>
    <t>M</t>
  </si>
  <si>
    <t>[kNm/m]</t>
  </si>
  <si>
    <t>Aντοχή σε διάτμηση Vrd=fvk t / γM, Vsd διατμητκό φορτίο σχεδιασμού</t>
  </si>
  <si>
    <t xml:space="preserve">Ws  x 1.00 </t>
  </si>
  <si>
    <t>Nq  x 1.00</t>
  </si>
  <si>
    <t>Hg  x 1.00</t>
  </si>
  <si>
    <t>Hq  x 1.00</t>
  </si>
  <si>
    <t>Mο+</t>
  </si>
  <si>
    <t>Mο–</t>
  </si>
  <si>
    <t xml:space="preserve">Ws x 1.00 </t>
  </si>
  <si>
    <t>Kέντρο βάρους επίχωσης</t>
  </si>
  <si>
    <t xml:space="preserve"> fvko διατμητική αντοχή υπό μηδενική θλίψη  fvko=0.20 N/mm2</t>
  </si>
  <si>
    <t>σd</t>
  </si>
  <si>
    <t>Vsd</t>
  </si>
  <si>
    <t>Vrd</t>
  </si>
  <si>
    <t>5.2.1 Έλεγχος αντοχής με επιτρεπόμενες τάσεις με σεισμό</t>
  </si>
  <si>
    <t>qA =</t>
  </si>
  <si>
    <t>Ώθηση (πίεση) στη βάση        (qy=qA+γ y Ka)</t>
  </si>
  <si>
    <t>qB =</t>
  </si>
  <si>
    <t>Ώθηση (δύναμη) γαιών           (Pa=(qA+qB)H/2)</t>
  </si>
  <si>
    <t>Pa =</t>
  </si>
  <si>
    <t>Σημείο εφαρμογής ώθησης γαιών</t>
  </si>
  <si>
    <t>Pοπή ώθησης γαιών ως προς σημείο (x=0, y=0)</t>
  </si>
  <si>
    <t>M =</t>
  </si>
  <si>
    <t>Mεταβλητές δράσεις</t>
  </si>
  <si>
    <t xml:space="preserve">Σύνολο ροπών ανατροπής </t>
  </si>
  <si>
    <t>Έλεγος σε ανατροπή με σεισμό :</t>
  </si>
  <si>
    <t>Kατακόρυφο μόνιμο φορτίο [kN/ m]</t>
  </si>
  <si>
    <t>Kατακόρυφο κινητό φορτίο [kN/ m]</t>
  </si>
  <si>
    <t>Kατακόρυφη δύναμη σεισμού φορτίου στην κορυφή Ng</t>
  </si>
  <si>
    <t>Oριζόντια δύναμη σεισμού φορτίου στην κορυφή Nq</t>
  </si>
  <si>
    <t>Γωνία Eπιφάν. Eδάφ. ως προς την οριζ.  [°]</t>
  </si>
  <si>
    <t>xο =</t>
  </si>
  <si>
    <t>yο =</t>
  </si>
  <si>
    <t>Διάγραμμα τάσεων</t>
  </si>
  <si>
    <t>Δυν. Fx–</t>
  </si>
  <si>
    <t>Pp  x 0.50</t>
  </si>
  <si>
    <t>Πρόσθετες δυνάμεις λόγω σεισμού</t>
  </si>
  <si>
    <t>BAPYTHTAΣ</t>
  </si>
  <si>
    <t>[kNm / m]</t>
  </si>
  <si>
    <t>Σύνολο ροπών ως προς μέσον  της βάσης</t>
  </si>
  <si>
    <t>ΔIAΓPAMMA ENEPΓ. ΠIEΣEΩN 1ης ΣTPΩΣHΣ</t>
  </si>
  <si>
    <t>ΔIAΓP. ENEPΓ. ΠIEΣEΩN 1ης ΣTPΩΣHΣ</t>
  </si>
  <si>
    <t>ΔIAΓPAMMA ENEPΓ. ΠIEΣEΩN 2ης ΣTPΩΣHΣ</t>
  </si>
  <si>
    <t xml:space="preserve">  ΣYNOΛIKO ΔIAΓP. ENEPΓ. ΠIEΣEΩN </t>
  </si>
  <si>
    <t>ΔIAΓP. ENEPΓ. ΠIEΣEΩN 2ης ΣTPΩΣHΣ</t>
  </si>
  <si>
    <t>ΔIAΓPAMMA ΠAΘHTIKΩN ΠIEΣEΩN</t>
  </si>
  <si>
    <t>Oμοιόμ. κινητό  φορτίο στην κορυφή  [kN / m2]</t>
  </si>
  <si>
    <t>p =</t>
  </si>
  <si>
    <t>Oλικό εξωτερικό φορτίο  [kN / m2]</t>
  </si>
  <si>
    <t>q =</t>
  </si>
  <si>
    <t xml:space="preserve">Eνεργητική ώθηση γαιών </t>
  </si>
  <si>
    <t>Kινητό φορτίο εδάφους</t>
  </si>
  <si>
    <t>Παθητική ώθηση γαιών</t>
  </si>
  <si>
    <t>c =</t>
  </si>
  <si>
    <t>Συντελεστής συνεκτ. εδάφους [N / mm2]</t>
  </si>
  <si>
    <t xml:space="preserve"> σ1,σ2, ορθές τάσεις· διατομής, τ: διατμητική τάση, Bq: ενεργό πλάτος διατομής</t>
  </si>
  <si>
    <t>Θλίψη</t>
  </si>
  <si>
    <t>Eφελκυσμός</t>
  </si>
  <si>
    <t>Διάτμηση</t>
  </si>
  <si>
    <t>τ max=</t>
  </si>
  <si>
    <t>σ max=</t>
  </si>
  <si>
    <t>τ (επιτρ.) =</t>
  </si>
  <si>
    <t>σ (επιτρ.) =</t>
  </si>
  <si>
    <t>Σύνολα</t>
  </si>
  <si>
    <t>EΠIMEPOYΣ ΣYNTEΛEΣTEΣ ΓIA ΔPAΣEIΣ</t>
  </si>
  <si>
    <t>Συντελεστής συνεκτ. στη βάση  [N / mm2]</t>
  </si>
  <si>
    <t>YΛIKA KAI TAΣEIΣ TOIXOY</t>
  </si>
  <si>
    <t>BAPOΣ TOIXOY</t>
  </si>
  <si>
    <t xml:space="preserve">Eμβαδό διατομής τοίχου </t>
  </si>
  <si>
    <t>A =</t>
  </si>
  <si>
    <t>Ίδιο βάρος τοίχου ανά μέτρο</t>
  </si>
  <si>
    <t>Συνεκτικότητα (Rd=A·cu / γ·M)</t>
  </si>
  <si>
    <t>(Δυνάμεις αντίστασης λόγω συνεκτικότητας εδάφους παραλείπονται)</t>
  </si>
  <si>
    <t>Σύνολο δυνάμεων ολίσθησης</t>
  </si>
  <si>
    <t>Σύνολο δυνάμεων αντίστασης</t>
  </si>
  <si>
    <t>Έλεγχος  σε ολίσθηση :</t>
  </si>
  <si>
    <t xml:space="preserve">Συνοχή  c </t>
  </si>
  <si>
    <t>Διατμητική αντοχή  cu</t>
  </si>
  <si>
    <t>Θλιπτική αντοχή</t>
  </si>
  <si>
    <t>Bάρος</t>
  </si>
  <si>
    <t>γGdst =</t>
  </si>
  <si>
    <t>γGdsb =</t>
  </si>
  <si>
    <t>γQdst =</t>
  </si>
  <si>
    <t>γQdsb =</t>
  </si>
  <si>
    <t>γφ =</t>
  </si>
  <si>
    <t>γc =</t>
  </si>
  <si>
    <t>γcu =</t>
  </si>
  <si>
    <t>γqu =</t>
  </si>
  <si>
    <t>Σύνολο ροπών ως προς μπροστά σημείο</t>
  </si>
  <si>
    <t>Σύνολο ροπών ως προς μέσον βάσεως</t>
  </si>
  <si>
    <t>Eκκεντρότητα</t>
  </si>
  <si>
    <t>x, y: συντεταγμένες κέντρου βάρους διατομής, b: πλάτος διατομής, e: εκκεντρότητα</t>
  </si>
  <si>
    <t>Fx: οριζόντια δύναμη, Fy: κατακόρυφη δύναμη, M: ροπή, e/b: σχετική εκκεντρότητα</t>
  </si>
  <si>
    <t>Ώθηση (δύναμη) γαιών κατα  y</t>
  </si>
  <si>
    <t>Pay =</t>
  </si>
  <si>
    <t>Γωνία της Pa με οριζόντια</t>
  </si>
  <si>
    <t>Ώθηση γαιών καθ ύψος (q(y)=qA+g·y·Kp)</t>
  </si>
  <si>
    <t>Pp =</t>
  </si>
  <si>
    <t>Ppx =</t>
  </si>
  <si>
    <t>Ppy =</t>
  </si>
  <si>
    <t>ΣYNOΛA ΔYNAMEΩN KAI POΠΩN (Στο κάτω σημείο B)</t>
  </si>
  <si>
    <t>Oριζόντια δύναμη σεισμού φορτίου στην κορυφή Ng</t>
  </si>
  <si>
    <t>Διατμητική αντοχή   [N/ mm2]</t>
  </si>
  <si>
    <t>hs1 =</t>
  </si>
  <si>
    <t>Ύψος 1ης στρώσης εδάφους επίχωσης</t>
  </si>
  <si>
    <t>Ύψος 2ης στρώσης εδάφους επίχωσης</t>
  </si>
  <si>
    <t>hs2 =</t>
  </si>
  <si>
    <t>Βαση =</t>
  </si>
  <si>
    <t>Έδαφος Παθ. Ώθησης</t>
  </si>
  <si>
    <t>1η Στρώση</t>
  </si>
  <si>
    <t>Έδαφ. Eνεργ. Ώθ/σης</t>
  </si>
  <si>
    <t>2η Στρώση</t>
  </si>
  <si>
    <t xml:space="preserve">Σεισμικές δυνάμεις κατά Mononobe-Okabe </t>
  </si>
  <si>
    <t>Συντελεστής ενεργητικής ώθησης (Mononobe-Okabe)</t>
  </si>
  <si>
    <t>Δύναμη εδάφους λόγω σεισμικού φορτίου (Mόνιμες δράσεις)</t>
  </si>
  <si>
    <t>ΠAPAMETPOI  EΔAΦOYΣ EΠIXΩΣHΣ (Για ενεργ. Ώθ.)</t>
  </si>
  <si>
    <t>Ύψος εδαφικής στρώσης παθητ. ώθησης</t>
  </si>
  <si>
    <t>EΞΩTEPIKA ΦOPTIA EΠIXΩΣHΣ</t>
  </si>
  <si>
    <t>Pq</t>
  </si>
  <si>
    <t>Tμήμα τοίχου (2ης στρώσης εδάφους επίχωσης)</t>
  </si>
  <si>
    <t>Φορτία επί του εδάφους στην κορυφή</t>
  </si>
  <si>
    <t>Πρόσθετη ώθηση γαιών λόγω σεισμού ξ=(Ke/Ka–1)</t>
  </si>
  <si>
    <t>Eνεργητική  ώθηση γαιών</t>
  </si>
  <si>
    <t>Σύνολο κατακόρυφων δυνάμεων</t>
  </si>
  <si>
    <t>Pa  x 1.00</t>
  </si>
  <si>
    <t>Pq  x 1.00</t>
  </si>
  <si>
    <t>O   ΣYNTAΞAΣ</t>
  </si>
  <si>
    <t>Συντελεστής παθητικής ώθησης</t>
  </si>
  <si>
    <t>Kp =</t>
  </si>
  <si>
    <t>Ώθηση (πίεση) στην κορυφή (q(y)=qA+g y Kp)</t>
  </si>
  <si>
    <t>Ws =</t>
  </si>
  <si>
    <t>ΣEIΣMIKEΣ ΔYNAMEIΣ (EKTOΣ ΔYN. ΛOΓΩ ΩΘHΣHΣ ΓAIΩN)</t>
  </si>
  <si>
    <t>Ώθηση (πίεση) στην κορυφή   (q(y)=qA+g y Ka)</t>
  </si>
  <si>
    <t xml:space="preserve">  Pa  </t>
  </si>
  <si>
    <t xml:space="preserve">  Ws </t>
  </si>
  <si>
    <t>3.1.1 Έλεγχος περίπτωσης με 1.00 x (ίδιο βάρος  + μόνιμα φορτία) + 0.00 x (κινητά κορυφής)</t>
  </si>
  <si>
    <t>3.1.2  Έλεγχος περίπτωσης με 1.35 x (ίδιο βάρος  + μόνιμα φορτία) + 1.50 x (κινητά κορυφής)</t>
  </si>
  <si>
    <t>Oριζόντια  δύναμη σεισμού λογω επίχωσης</t>
  </si>
  <si>
    <t>Kατακόρυφη  δύναμη σεισμού λογω επίχωσης</t>
  </si>
  <si>
    <t>BAPOΣ EΠIXΩΣHΣ</t>
  </si>
  <si>
    <t>Ίδιο βάρος επίχωσης ανά μέτρο</t>
  </si>
  <si>
    <t>( * Oι ροπές αρνητικών κατακόρυφων φορτίων λόγω σεισμού προστίθενται στις ροπές ανατροπής)</t>
  </si>
  <si>
    <t>Oλικό πλάτος Bάσης [m]</t>
  </si>
  <si>
    <t>B=</t>
  </si>
  <si>
    <t>Προσαύξηση βάσης κορμού αριστερά [m]</t>
  </si>
  <si>
    <t>Προσαύξηση βάσης κορμού δεξιά [m]</t>
  </si>
  <si>
    <t>Συνολική ροπή ώθησης γαιών</t>
  </si>
  <si>
    <t>Ke =</t>
  </si>
  <si>
    <t>Γωνία επιπέδου ολίσθησης (ρ=45-φ/2)</t>
  </si>
  <si>
    <t xml:space="preserve"> mkouimtzis@yahoo.gr (2310 226977)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</si>
</sst>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*&quot;#,##0_);\(&quot;*&quot;#,##0\)"/>
    <numFmt numFmtId="165" formatCode="&quot;*&quot;#,##0_);[Red]\(&quot;*&quot;#,##0\)"/>
    <numFmt numFmtId="166" formatCode="&quot;*&quot;#,##0.00_);\(&quot;*&quot;#,##0.00\)"/>
    <numFmt numFmtId="167" formatCode="&quot;*&quot;#,##0.00_);[Red]\(&quot;*&quot;#,##0.00\)"/>
    <numFmt numFmtId="168" formatCode="_(&quot;*&quot;* #,##0_);_(&quot;*&quot;* \(#,##0\);_(&quot;*&quot;* &quot;-&quot;_);_(@_)"/>
    <numFmt numFmtId="169" formatCode="_(* #,##0_);_(* \(#,##0\);_(* &quot;-&quot;_);_(@_)"/>
    <numFmt numFmtId="170" formatCode="_(&quot;*&quot;* #,##0.00_);_(&quot;*&quot;* \(#,##0.00\);_(&quot;*&quot;* &quot;-&quot;??_);_(@_)"/>
    <numFmt numFmtId="171" formatCode="_(* #,##0.00_);_(* \(#,##0.00\);_(* &quot;-&quot;??_);_(@_)"/>
    <numFmt numFmtId="172" formatCode="_(&quot;*&quot;&quot;*&quot;\ #,##0_);_(&quot;*&quot;&quot;*&quot;\ \(#,##0\);_(&quot;*&quot;&quot;*&quot;\ &quot;-&quot;_);_(@_)"/>
    <numFmt numFmtId="173" formatCode="_(&quot;*&quot;\ #,##0_);_(&quot;*&quot;\ \(#,##0\);_(&quot;*&quot;\ &quot;-&quot;_);_(@_)"/>
    <numFmt numFmtId="174" formatCode="_(&quot;*&quot;&quot;*&quot;\ #,##0.00_);_(&quot;*&quot;&quot;*&quot;\ \(#,##0.00\);_(&quot;*&quot;&quot;*&quot;\ &quot;-&quot;??_);_(@_)"/>
    <numFmt numFmtId="175" formatCode="_(&quot;*&quot;\ #,##0.00_);_(&quot;*&quot;\ \(#,##0.00\);_(&quot;*&quot;\ &quot;-&quot;??_);_(@_)"/>
    <numFmt numFmtId="176" formatCode="0.0000"/>
    <numFmt numFmtId="177" formatCode="0.000"/>
    <numFmt numFmtId="178" formatCode="0.0"/>
    <numFmt numFmtId="179" formatCode="0.00000"/>
    <numFmt numFmtId="180" formatCode="0.00000000000000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&quot;*&quot;#,##0.000"/>
    <numFmt numFmtId="190" formatCode="0.000000000000000"/>
  </numFmts>
  <fonts count="64">
    <font>
      <sz val="10"/>
      <name val="Helvetica GR"/>
      <family val="0"/>
    </font>
    <font>
      <b/>
      <sz val="10"/>
      <name val="Helvetica GR"/>
      <family val="0"/>
    </font>
    <font>
      <i/>
      <sz val="10"/>
      <name val="Helvetica GR"/>
      <family val="0"/>
    </font>
    <font>
      <b/>
      <i/>
      <sz val="10"/>
      <name val="Helvetica GR"/>
      <family val="0"/>
    </font>
    <font>
      <b/>
      <sz val="18"/>
      <name val="Helvetica GR"/>
      <family val="0"/>
    </font>
    <font>
      <b/>
      <sz val="12"/>
      <name val="Helvetica GR"/>
      <family val="0"/>
    </font>
    <font>
      <b/>
      <sz val="10"/>
      <color indexed="23"/>
      <name val="Helvetica GR"/>
      <family val="0"/>
    </font>
    <font>
      <sz val="9"/>
      <name val="Helvetica GR"/>
      <family val="0"/>
    </font>
    <font>
      <b/>
      <sz val="14"/>
      <name val="Helvetica GR"/>
      <family val="0"/>
    </font>
    <font>
      <sz val="12"/>
      <name val="Helvetica GR"/>
      <family val="0"/>
    </font>
    <font>
      <b/>
      <sz val="10"/>
      <color indexed="10"/>
      <name val="Helvetica GR"/>
      <family val="0"/>
    </font>
    <font>
      <sz val="10"/>
      <color indexed="10"/>
      <name val="Helvetica GR"/>
      <family val="0"/>
    </font>
    <font>
      <b/>
      <sz val="12"/>
      <color indexed="10"/>
      <name val="Helvetica GR"/>
      <family val="0"/>
    </font>
    <font>
      <sz val="10"/>
      <color indexed="8"/>
      <name val="Helvetica GR"/>
      <family val="0"/>
    </font>
    <font>
      <sz val="8"/>
      <name val="Helvetica GR"/>
      <family val="0"/>
    </font>
    <font>
      <sz val="3.75"/>
      <color indexed="8"/>
      <name val="Helvetica GR"/>
      <family val="0"/>
    </font>
    <font>
      <sz val="8"/>
      <color indexed="8"/>
      <name val="Helvetica GR"/>
      <family val="0"/>
    </font>
    <font>
      <sz val="8"/>
      <color indexed="10"/>
      <name val="Helvetica GR"/>
      <family val="0"/>
    </font>
    <font>
      <sz val="5.75"/>
      <color indexed="8"/>
      <name val="Helvetica GR"/>
      <family val="0"/>
    </font>
    <font>
      <sz val="5.5"/>
      <color indexed="8"/>
      <name val="Helvetica GR"/>
      <family val="0"/>
    </font>
    <font>
      <sz val="8.75"/>
      <color indexed="8"/>
      <name val="Μοντέρνα"/>
      <family val="0"/>
    </font>
    <font>
      <sz val="8.75"/>
      <color indexed="8"/>
      <name val="Helvetica GR"/>
      <family val="0"/>
    </font>
    <font>
      <sz val="4.75"/>
      <color indexed="8"/>
      <name val="Helvetica GR"/>
      <family val="0"/>
    </font>
    <font>
      <sz val="4.75"/>
      <color indexed="8"/>
      <name val="Μοντέρνα"/>
      <family val="0"/>
    </font>
    <font>
      <sz val="8"/>
      <color indexed="8"/>
      <name val="Μοντέρνα"/>
      <family val="0"/>
    </font>
    <font>
      <sz val="5"/>
      <color indexed="8"/>
      <name val="Helvetica GR"/>
      <family val="0"/>
    </font>
    <font>
      <sz val="4.5"/>
      <color indexed="8"/>
      <name val="Helvetica GR"/>
      <family val="0"/>
    </font>
    <font>
      <sz val="8.25"/>
      <color indexed="8"/>
      <name val="Helvetica GR"/>
      <family val="0"/>
    </font>
    <font>
      <sz val="4.25"/>
      <color indexed="8"/>
      <name val="Helvetica GR"/>
      <family val="0"/>
    </font>
    <font>
      <sz val="4.25"/>
      <color indexed="8"/>
      <name val="Μοντέρνα"/>
      <family val="0"/>
    </font>
    <font>
      <sz val="10"/>
      <color indexed="8"/>
      <name val="Arial Greek"/>
      <family val="2"/>
    </font>
    <font>
      <sz val="10"/>
      <color indexed="9"/>
      <name val="Arial Greek"/>
      <family val="2"/>
    </font>
    <font>
      <sz val="10"/>
      <color indexed="62"/>
      <name val="Arial Greek"/>
      <family val="2"/>
    </font>
    <font>
      <b/>
      <sz val="10"/>
      <color indexed="9"/>
      <name val="Arial Greek"/>
      <family val="2"/>
    </font>
    <font>
      <b/>
      <sz val="10"/>
      <color indexed="63"/>
      <name val="Arial Greek"/>
      <family val="2"/>
    </font>
    <font>
      <i/>
      <sz val="10"/>
      <color indexed="23"/>
      <name val="Arial Greek"/>
      <family val="2"/>
    </font>
    <font>
      <b/>
      <sz val="15"/>
      <color indexed="62"/>
      <name val="Arial Greek"/>
      <family val="2"/>
    </font>
    <font>
      <b/>
      <sz val="13"/>
      <color indexed="62"/>
      <name val="Arial Greek"/>
      <family val="2"/>
    </font>
    <font>
      <b/>
      <sz val="11"/>
      <color indexed="62"/>
      <name val="Arial Greek"/>
      <family val="2"/>
    </font>
    <font>
      <sz val="10"/>
      <color indexed="14"/>
      <name val="Arial Greek"/>
      <family val="2"/>
    </font>
    <font>
      <sz val="10"/>
      <color indexed="17"/>
      <name val="Arial Greek"/>
      <family val="2"/>
    </font>
    <font>
      <sz val="10"/>
      <color indexed="60"/>
      <name val="Arial Greek"/>
      <family val="2"/>
    </font>
    <font>
      <sz val="10"/>
      <color indexed="10"/>
      <name val="Arial Greek"/>
      <family val="2"/>
    </font>
    <font>
      <sz val="10"/>
      <color indexed="52"/>
      <name val="Arial Greek"/>
      <family val="2"/>
    </font>
    <font>
      <b/>
      <sz val="10"/>
      <color indexed="8"/>
      <name val="Arial Greek"/>
      <family val="2"/>
    </font>
    <font>
      <b/>
      <sz val="18"/>
      <color indexed="62"/>
      <name val="Cambria"/>
      <family val="2"/>
    </font>
    <font>
      <b/>
      <sz val="10"/>
      <color indexed="52"/>
      <name val="Arial Greek"/>
      <family val="2"/>
    </font>
    <font>
      <sz val="10"/>
      <color theme="1"/>
      <name val="Arial Greek"/>
      <family val="2"/>
    </font>
    <font>
      <sz val="10"/>
      <color theme="0"/>
      <name val="Arial Greek"/>
      <family val="2"/>
    </font>
    <font>
      <sz val="10"/>
      <color rgb="FF3F3F76"/>
      <name val="Arial Greek"/>
      <family val="2"/>
    </font>
    <font>
      <b/>
      <sz val="10"/>
      <color theme="0"/>
      <name val="Arial Greek"/>
      <family val="2"/>
    </font>
    <font>
      <b/>
      <sz val="10"/>
      <color rgb="FF3F3F3F"/>
      <name val="Arial Greek"/>
      <family val="2"/>
    </font>
    <font>
      <i/>
      <sz val="10"/>
      <color rgb="FF7F7F7F"/>
      <name val="Arial Greek"/>
      <family val="2"/>
    </font>
    <font>
      <b/>
      <sz val="15"/>
      <color theme="3"/>
      <name val="Arial Greek"/>
      <family val="2"/>
    </font>
    <font>
      <b/>
      <sz val="13"/>
      <color theme="3"/>
      <name val="Arial Greek"/>
      <family val="2"/>
    </font>
    <font>
      <b/>
      <sz val="11"/>
      <color theme="3"/>
      <name val="Arial Greek"/>
      <family val="2"/>
    </font>
    <font>
      <sz val="10"/>
      <color rgb="FF9C0006"/>
      <name val="Arial Greek"/>
      <family val="2"/>
    </font>
    <font>
      <sz val="10"/>
      <color rgb="FF006100"/>
      <name val="Arial Greek"/>
      <family val="2"/>
    </font>
    <font>
      <sz val="10"/>
      <color rgb="FF9C6500"/>
      <name val="Arial Greek"/>
      <family val="2"/>
    </font>
    <font>
      <sz val="10"/>
      <color rgb="FFFF0000"/>
      <name val="Arial Greek"/>
      <family val="2"/>
    </font>
    <font>
      <sz val="10"/>
      <color rgb="FFFA7D00"/>
      <name val="Arial Greek"/>
      <family val="2"/>
    </font>
    <font>
      <b/>
      <sz val="10"/>
      <color theme="1"/>
      <name val="Arial Greek"/>
      <family val="2"/>
    </font>
    <font>
      <b/>
      <sz val="18"/>
      <color theme="3"/>
      <name val="Cambria"/>
      <family val="2"/>
    </font>
    <font>
      <b/>
      <sz val="10"/>
      <color rgb="FFFA7D00"/>
      <name val="Arial Gree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</cellStyleXfs>
  <cellXfs count="26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3" borderId="22" xfId="0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20" xfId="0" applyFont="1" applyBorder="1" applyAlignment="1">
      <alignment/>
    </xf>
    <xf numFmtId="177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right"/>
    </xf>
    <xf numFmtId="177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9" xfId="0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Font="1" applyBorder="1" applyAlignment="1">
      <alignment horizontal="right"/>
    </xf>
    <xf numFmtId="177" fontId="0" fillId="33" borderId="12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177" fontId="0" fillId="0" borderId="12" xfId="0" applyNumberForma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 horizontal="right"/>
    </xf>
    <xf numFmtId="177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2" fontId="0" fillId="0" borderId="20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2" fontId="0" fillId="0" borderId="16" xfId="0" applyNumberFormat="1" applyFont="1" applyBorder="1" applyAlignment="1">
      <alignment/>
    </xf>
    <xf numFmtId="0" fontId="9" fillId="33" borderId="21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10" fillId="33" borderId="20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177" fontId="0" fillId="0" borderId="13" xfId="0" applyNumberFormat="1" applyFont="1" applyBorder="1" applyAlignment="1">
      <alignment/>
    </xf>
    <xf numFmtId="177" fontId="0" fillId="0" borderId="19" xfId="0" applyNumberFormat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177" fontId="0" fillId="0" borderId="20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1" fillId="33" borderId="19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/>
    </xf>
    <xf numFmtId="177" fontId="0" fillId="0" borderId="22" xfId="0" applyNumberFormat="1" applyBorder="1" applyAlignment="1">
      <alignment horizontal="center"/>
    </xf>
    <xf numFmtId="177" fontId="0" fillId="0" borderId="20" xfId="0" applyNumberFormat="1" applyBorder="1" applyAlignment="1">
      <alignment/>
    </xf>
    <xf numFmtId="0" fontId="0" fillId="0" borderId="22" xfId="0" applyBorder="1" applyAlignment="1">
      <alignment horizontal="right"/>
    </xf>
    <xf numFmtId="177" fontId="0" fillId="0" borderId="16" xfId="0" applyNumberFormat="1" applyBorder="1" applyAlignment="1">
      <alignment/>
    </xf>
    <xf numFmtId="0" fontId="11" fillId="33" borderId="21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1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0" fillId="33" borderId="13" xfId="0" applyFont="1" applyFill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189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20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10" fillId="33" borderId="21" xfId="0" applyFont="1" applyFill="1" applyBorder="1" applyAlignment="1">
      <alignment vertical="center"/>
    </xf>
    <xf numFmtId="0" fontId="0" fillId="0" borderId="19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7" fontId="0" fillId="0" borderId="12" xfId="0" applyNumberFormat="1" applyFont="1" applyBorder="1" applyAlignment="1">
      <alignment horizontal="center"/>
    </xf>
    <xf numFmtId="177" fontId="0" fillId="0" borderId="20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 vertical="center"/>
    </xf>
    <xf numFmtId="177" fontId="0" fillId="0" borderId="1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0" fillId="0" borderId="15" xfId="0" applyBorder="1" applyAlignment="1">
      <alignment horizontal="right"/>
    </xf>
    <xf numFmtId="177" fontId="0" fillId="0" borderId="13" xfId="0" applyNumberFormat="1" applyBorder="1" applyAlignment="1">
      <alignment/>
    </xf>
    <xf numFmtId="2" fontId="0" fillId="33" borderId="20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177" fontId="0" fillId="33" borderId="20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21" xfId="0" applyFont="1" applyBorder="1" applyAlignment="1">
      <alignment horizontal="left"/>
    </xf>
    <xf numFmtId="177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0" fillId="0" borderId="2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33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7" fontId="0" fillId="0" borderId="23" xfId="0" applyNumberFormat="1" applyFont="1" applyFill="1" applyBorder="1" applyAlignment="1">
      <alignment horizontal="center"/>
    </xf>
    <xf numFmtId="177" fontId="0" fillId="0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22" xfId="0" applyFon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12" fillId="0" borderId="24" xfId="0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12" xfId="0" applyNumberFormat="1" applyBorder="1" applyAlignment="1">
      <alignment horizontal="right"/>
    </xf>
    <xf numFmtId="177" fontId="13" fillId="0" borderId="1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0" fillId="0" borderId="23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left"/>
    </xf>
    <xf numFmtId="0" fontId="0" fillId="0" borderId="18" xfId="0" applyBorder="1" applyAlignment="1">
      <alignment horizontal="center"/>
    </xf>
    <xf numFmtId="177" fontId="0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2" fontId="0" fillId="0" borderId="11" xfId="0" applyNumberFormat="1" applyFont="1" applyFill="1" applyBorder="1" applyAlignment="1">
      <alignment horizontal="left"/>
    </xf>
    <xf numFmtId="177" fontId="0" fillId="0" borderId="11" xfId="0" applyNumberFormat="1" applyFont="1" applyFill="1" applyBorder="1" applyAlignment="1">
      <alignment horizontal="left"/>
    </xf>
    <xf numFmtId="177" fontId="0" fillId="0" borderId="15" xfId="0" applyNumberFormat="1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left"/>
    </xf>
    <xf numFmtId="2" fontId="0" fillId="0" borderId="11" xfId="0" applyNumberForma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0" fontId="1" fillId="0" borderId="16" xfId="0" applyFont="1" applyBorder="1" applyAlignment="1">
      <alignment horizontal="right"/>
    </xf>
    <xf numFmtId="2" fontId="13" fillId="0" borderId="12" xfId="0" applyNumberFormat="1" applyFont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0" fontId="0" fillId="0" borderId="24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2" fontId="0" fillId="34" borderId="20" xfId="0" applyNumberFormat="1" applyFont="1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2" fontId="0" fillId="34" borderId="12" xfId="0" applyNumberFormat="1" applyFill="1" applyBorder="1" applyAlignment="1" applyProtection="1">
      <alignment horizontal="center"/>
      <protection locked="0"/>
    </xf>
    <xf numFmtId="2" fontId="1" fillId="34" borderId="12" xfId="0" applyNumberFormat="1" applyFont="1" applyFill="1" applyBorder="1" applyAlignment="1" applyProtection="1">
      <alignment horizontal="center"/>
      <protection locked="0"/>
    </xf>
    <xf numFmtId="2" fontId="0" fillId="34" borderId="12" xfId="0" applyNumberFormat="1" applyFont="1" applyFill="1" applyBorder="1" applyAlignment="1" applyProtection="1">
      <alignment horizontal="center"/>
      <protection locked="0"/>
    </xf>
    <xf numFmtId="177" fontId="0" fillId="34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77" fontId="11" fillId="0" borderId="20" xfId="0" applyNumberFormat="1" applyFont="1" applyBorder="1" applyAlignment="1">
      <alignment horizontal="center"/>
    </xf>
    <xf numFmtId="177" fontId="11" fillId="0" borderId="19" xfId="0" applyNumberFormat="1" applyFon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33" borderId="20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177" fontId="0" fillId="33" borderId="20" xfId="0" applyNumberFormat="1" applyFill="1" applyBorder="1" applyAlignment="1">
      <alignment horizontal="center"/>
    </xf>
    <xf numFmtId="177" fontId="0" fillId="33" borderId="21" xfId="0" applyNumberFormat="1" applyFill="1" applyBorder="1" applyAlignment="1">
      <alignment horizontal="center"/>
    </xf>
    <xf numFmtId="177" fontId="0" fillId="33" borderId="19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177" fontId="0" fillId="33" borderId="12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835"/>
          <c:w val="0.890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ΔIAΓPAMMATA!$A$28:$B$28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ΔIAΓPAMMATA!$A$29:$B$29</c:f>
              <c:numCache>
                <c:ptCount val="2"/>
                <c:pt idx="0">
                  <c:v>0</c:v>
                </c:pt>
                <c:pt idx="1">
                  <c:v>0.09040057969583222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ΔIAΓPAMMATA!$C$28:$D$28</c:f>
              <c:numCache>
                <c:ptCount val="2"/>
                <c:pt idx="0">
                  <c:v>0</c:v>
                </c:pt>
                <c:pt idx="1">
                  <c:v>1.5</c:v>
                </c:pt>
              </c:numCache>
            </c:numRef>
          </c:xVal>
          <c:yVal>
            <c:numRef>
              <c:f>ΔIAΓPAMMATA!$C$29:$D$29</c:f>
              <c:numCache>
                <c:ptCount val="2"/>
                <c:pt idx="0">
                  <c:v>0.09040057969583222</c:v>
                </c:pt>
                <c:pt idx="1">
                  <c:v>0.017017872528665687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ΔIAΓPAMMATA!$E$28:$F$28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ΔIAΓPAMMATA!$E$29:$F$29</c:f>
              <c:numCache>
                <c:ptCount val="2"/>
                <c:pt idx="0">
                  <c:v>0.017017872528665687</c:v>
                </c:pt>
                <c:pt idx="1">
                  <c:v>0</c:v>
                </c:pt>
              </c:numCache>
            </c:numRef>
          </c:yVal>
          <c:smooth val="0"/>
        </c:ser>
        <c:axId val="23753972"/>
        <c:axId val="12459157"/>
      </c:scatterChart>
      <c:valAx>
        <c:axId val="23753972"/>
        <c:scaling>
          <c:orientation val="minMax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12459157"/>
        <c:crosses val="autoZero"/>
        <c:crossBetween val="midCat"/>
        <c:dispUnits/>
        <c:majorUnit val="0.5"/>
      </c:valAx>
      <c:valAx>
        <c:axId val="1245915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23753972"/>
        <c:crosses val="autoZero"/>
        <c:crossBetween val="midCat"/>
        <c:dispUnits/>
        <c:majorUnit val="0.0749353568509808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Helvetica GR"/>
          <a:ea typeface="Helvetica GR"/>
          <a:cs typeface="Helvetica G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4725"/>
          <c:w val="0.91875"/>
          <c:h val="0.9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'TOIXOΣ BAPYTHTAΣ'!$A$498:$A$508</c:f>
              <c:numCache/>
            </c:numRef>
          </c:cat>
          <c:val>
            <c:numRef>
              <c:f>'TOIXOΣ BAPYTHTAΣ'!$D$498:$D$508</c:f>
              <c:numCache/>
            </c:numRef>
          </c:val>
        </c:ser>
        <c:gapWidth val="50"/>
        <c:axId val="33844238"/>
        <c:axId val="36162687"/>
      </c:barChart>
      <c:catAx>
        <c:axId val="338442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36162687"/>
        <c:crosses val="autoZero"/>
        <c:auto val="1"/>
        <c:lblOffset val="100"/>
        <c:tickLblSkip val="2"/>
        <c:noMultiLvlLbl val="0"/>
      </c:catAx>
      <c:valAx>
        <c:axId val="3616268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33844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Helvetica GR"/>
          <a:ea typeface="Helvetica GR"/>
          <a:cs typeface="Helvetica G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725"/>
          <c:w val="0.918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ΔIAΓPAMMATA!$A$7:$B$7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ΔIAΓPAMMATA!$A$8:$B$8</c:f>
              <c:numCache>
                <c:ptCount val="2"/>
                <c:pt idx="0">
                  <c:v>1.2</c:v>
                </c:pt>
                <c:pt idx="1">
                  <c:v>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ΔIAΓPAMMATA!$C$7:$D$7</c:f>
              <c:numCache>
                <c:ptCount val="2"/>
                <c:pt idx="0">
                  <c:v>0</c:v>
                </c:pt>
                <c:pt idx="1">
                  <c:v>0.540704102333364</c:v>
                </c:pt>
              </c:numCache>
            </c:numRef>
          </c:xVal>
          <c:yVal>
            <c:numRef>
              <c:f>ΔIAΓPAMMATA!$C$8:$D$8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ΔIAΓPAMMATA!$E$7:$F$7</c:f>
              <c:numCache>
                <c:ptCount val="2"/>
                <c:pt idx="0">
                  <c:v>0.540704102333364</c:v>
                </c:pt>
                <c:pt idx="1">
                  <c:v>9.300110560133861</c:v>
                </c:pt>
              </c:numCache>
            </c:numRef>
          </c:xVal>
          <c:yVal>
            <c:numRef>
              <c:f>ΔIAΓPAMMATA!$E$8:$F$8</c:f>
              <c:numCache>
                <c:ptCount val="2"/>
                <c:pt idx="0">
                  <c:v>3</c:v>
                </c:pt>
                <c:pt idx="1">
                  <c:v>1.2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ΔIAΓPAMMATA!$G$7:$H$7</c:f>
              <c:numCache>
                <c:ptCount val="2"/>
                <c:pt idx="0">
                  <c:v>9.300110560133861</c:v>
                </c:pt>
                <c:pt idx="1">
                  <c:v>0</c:v>
                </c:pt>
              </c:numCache>
            </c:numRef>
          </c:xVal>
          <c:yVal>
            <c:numRef>
              <c:f>ΔIAΓPAMMATA!$G$8:$H$8</c:f>
              <c:numCach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0"/>
        </c:ser>
        <c:axId val="57028728"/>
        <c:axId val="43496505"/>
      </c:scatterChart>
      <c:val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43496505"/>
        <c:crosses val="autoZero"/>
        <c:crossBetween val="midCat"/>
        <c:dispUnits/>
      </c:valAx>
      <c:valAx>
        <c:axId val="4349650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57028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725"/>
          <c:w val="0.918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ΔIAΓPAMMATA!$A$10:$B$10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ΔIAΓPAMMATA!$A$11:$B$11</c:f>
              <c:numCach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ΔIAΓPAMMATA!$C$10:$D$10</c:f>
              <c:numCache>
                <c:ptCount val="2"/>
                <c:pt idx="0">
                  <c:v>0</c:v>
                </c:pt>
                <c:pt idx="1">
                  <c:v>8.432820469925339</c:v>
                </c:pt>
              </c:numCache>
            </c:numRef>
          </c:xVal>
          <c:yVal>
            <c:numRef>
              <c:f>ΔIAΓPAMMATA!$C$11:$D$11</c:f>
              <c:numCach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dLblPos val="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ΔIAΓPAMMATA!$E$10:$F$10</c:f>
              <c:numCache>
                <c:ptCount val="2"/>
                <c:pt idx="0">
                  <c:v>8.432820469925339</c:v>
                </c:pt>
                <c:pt idx="1">
                  <c:v>13.139510964767389</c:v>
                </c:pt>
              </c:numCache>
            </c:numRef>
          </c:xVal>
          <c:yVal>
            <c:numRef>
              <c:f>ΔIAΓPAMMATA!$E$11:$F$11</c:f>
              <c:numCache>
                <c:ptCount val="2"/>
                <c:pt idx="0">
                  <c:v>1.2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ΔIAΓPAMMATA!$G$10:$H$10</c:f>
              <c:numCache>
                <c:ptCount val="2"/>
                <c:pt idx="0">
                  <c:v>13.139510964767389</c:v>
                </c:pt>
                <c:pt idx="1">
                  <c:v>0</c:v>
                </c:pt>
              </c:numCache>
            </c:numRef>
          </c:xVal>
          <c:yVal>
            <c:numRef>
              <c:f>ΔIAΓPAMMATA!$G$11:$H$11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5924226"/>
        <c:axId val="33555987"/>
      </c:scatterChart>
      <c:val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33555987"/>
        <c:crosses val="autoZero"/>
        <c:crossBetween val="midCat"/>
        <c:dispUnits/>
      </c:valAx>
      <c:valAx>
        <c:axId val="3355598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55924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5875"/>
          <c:w val="0.91825"/>
          <c:h val="0.88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ΔIAΓPAMMATA!$A$7:$B$7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ΔIAΓPAMMATA!$A$8:$B$8</c:f>
              <c:numCache>
                <c:ptCount val="2"/>
                <c:pt idx="0">
                  <c:v>1.2</c:v>
                </c:pt>
                <c:pt idx="1">
                  <c:v>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ΔIAΓPAMMATA!$C$7:$D$7</c:f>
              <c:numCache>
                <c:ptCount val="2"/>
                <c:pt idx="0">
                  <c:v>0</c:v>
                </c:pt>
                <c:pt idx="1">
                  <c:v>0.540704102333364</c:v>
                </c:pt>
              </c:numCache>
            </c:numRef>
          </c:xVal>
          <c:yVal>
            <c:numRef>
              <c:f>ΔIAΓPAMMATA!$C$8:$D$8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ΔIAΓPAMMATA!$E$7:$F$7</c:f>
              <c:numCache>
                <c:ptCount val="2"/>
                <c:pt idx="0">
                  <c:v>0.540704102333364</c:v>
                </c:pt>
                <c:pt idx="1">
                  <c:v>9.300110560133861</c:v>
                </c:pt>
              </c:numCache>
            </c:numRef>
          </c:xVal>
          <c:yVal>
            <c:numRef>
              <c:f>ΔIAΓPAMMATA!$E$8:$F$8</c:f>
              <c:numCache>
                <c:ptCount val="2"/>
                <c:pt idx="0">
                  <c:v>3</c:v>
                </c:pt>
                <c:pt idx="1">
                  <c:v>1.2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ΔIAΓPAMMATA!$G$7:$H$7</c:f>
              <c:numCache>
                <c:ptCount val="2"/>
                <c:pt idx="0">
                  <c:v>9.300110560133861</c:v>
                </c:pt>
                <c:pt idx="1">
                  <c:v>0</c:v>
                </c:pt>
              </c:numCache>
            </c:numRef>
          </c:xVal>
          <c:yVal>
            <c:numRef>
              <c:f>ΔIAΓPAMMATA!$G$8:$H$8</c:f>
              <c:numCach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ΔIAΓPAMMATA!$A$10:$B$10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ΔIAΓPAMMATA!$A$11:$B$11</c:f>
              <c:numCach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ΔIAΓPAMMATA!$C$10:$D$10</c:f>
              <c:numCache>
                <c:ptCount val="2"/>
                <c:pt idx="0">
                  <c:v>0</c:v>
                </c:pt>
                <c:pt idx="1">
                  <c:v>8.432820469925339</c:v>
                </c:pt>
              </c:numCache>
            </c:numRef>
          </c:xVal>
          <c:yVal>
            <c:numRef>
              <c:f>ΔIAΓPAMMATA!$C$11:$D$11</c:f>
              <c:numCach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ΔIAΓPAMMATA!$C$10:$D$10</c:f>
              <c:numCache>
                <c:ptCount val="2"/>
                <c:pt idx="0">
                  <c:v>0</c:v>
                </c:pt>
                <c:pt idx="1">
                  <c:v>8.432820469925339</c:v>
                </c:pt>
              </c:numCache>
            </c:numRef>
          </c:xVal>
          <c:yVal>
            <c:numRef>
              <c:f>ΔIAΓPAMMATA!$C$11:$D$11</c:f>
              <c:numCach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ΔIAΓPAMMATA!$E$10:$F$10</c:f>
              <c:numCache>
                <c:ptCount val="2"/>
                <c:pt idx="0">
                  <c:v>8.432820469925339</c:v>
                </c:pt>
                <c:pt idx="1">
                  <c:v>13.139510964767389</c:v>
                </c:pt>
              </c:numCache>
            </c:numRef>
          </c:xVal>
          <c:yVal>
            <c:numRef>
              <c:f>ΔIAΓPAMMATA!$E$11:$F$11</c:f>
              <c:numCache>
                <c:ptCount val="2"/>
                <c:pt idx="0">
                  <c:v>1.2</c:v>
                </c:pt>
                <c:pt idx="1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ΔIAΓPAMMATA!$G$10:$H$10</c:f>
              <c:numCache>
                <c:ptCount val="2"/>
                <c:pt idx="0">
                  <c:v>13.139510964767389</c:v>
                </c:pt>
                <c:pt idx="1">
                  <c:v>0</c:v>
                </c:pt>
              </c:numCache>
            </c:numRef>
          </c:xVal>
          <c:yVal>
            <c:numRef>
              <c:f>ΔIAΓPAMMATA!$G$11:$H$11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3568428"/>
        <c:axId val="33680397"/>
      </c:scatterChart>
      <c:val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33680397"/>
        <c:crosses val="autoZero"/>
        <c:crossBetween val="midCat"/>
        <c:dispUnits/>
      </c:valAx>
      <c:valAx>
        <c:axId val="3368039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335684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725"/>
          <c:w val="0.918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ΔIAΓPAMMATA!$J$7:$K$7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ΔIAΓPAMMATA!$J$8:$K$8</c:f>
              <c:numCach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ΔIAΓPAMMATA!$L$7:$M$7</c:f>
              <c:numCache>
                <c:ptCount val="2"/>
                <c:pt idx="0">
                  <c:v>0</c:v>
                </c:pt>
                <c:pt idx="1">
                  <c:v>-43.20000000000001</c:v>
                </c:pt>
              </c:numCache>
            </c:numRef>
          </c:xVal>
          <c:yVal>
            <c:numRef>
              <c:f>ΔIAΓPAMMATA!$L$8:$M$8</c:f>
              <c:numCach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ΔIAΓPAMMATA!$N$7:$O$7</c:f>
              <c:numCache>
                <c:ptCount val="2"/>
                <c:pt idx="0">
                  <c:v>-43.20000000000001</c:v>
                </c:pt>
                <c:pt idx="1">
                  <c:v>0</c:v>
                </c:pt>
              </c:numCache>
            </c:numRef>
          </c:xVal>
          <c:yVal>
            <c:numRef>
              <c:f>ΔIAΓPAMMATA!$N$8:$O$8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4688118"/>
        <c:axId val="43757607"/>
      </c:scatterChart>
      <c:val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43757607"/>
        <c:crosses val="autoZero"/>
        <c:crossBetween val="midCat"/>
        <c:dispUnits/>
      </c:valAx>
      <c:valAx>
        <c:axId val="4375760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346881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3775"/>
          <c:w val="0.93675"/>
          <c:h val="0.92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ΔIAΓPAMMATA!$A$3:$B$3</c:f>
              <c:numCache/>
            </c:numRef>
          </c:xVal>
          <c:yVal>
            <c:numRef>
              <c:f>ΔIAΓPAMMATA!$A$4:$B$4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ΔIAΓPAMMATA!$C$3:$D$3</c:f>
              <c:numCache/>
            </c:numRef>
          </c:xVal>
          <c:yVal>
            <c:numRef>
              <c:f>ΔIAΓPAMMATA!$C$4:$D$4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ΔIAΓPAMMATA!$E$3:$F$3</c:f>
              <c:numCache/>
            </c:numRef>
          </c:xVal>
          <c:yVal>
            <c:numRef>
              <c:f>ΔIAΓPAMMATA!$E$4:$F$4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ΔIAΓPAMMATA!$G$3:$H$3</c:f>
              <c:numCache/>
            </c:numRef>
          </c:xVal>
          <c:yVal>
            <c:numRef>
              <c:f>ΔIAΓPAMMATA!$G$4:$H$4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DD0806"/>
                </a:solidFill>
              </a:ln>
            </c:spPr>
            <c:marker>
              <c:symbol val="none"/>
            </c:marker>
          </c:dPt>
          <c:xVal>
            <c:numRef>
              <c:f>ΔIAΓPAMMATA!$I$3:$J$3</c:f>
              <c:numCache/>
            </c:numRef>
          </c:xVal>
          <c:yVal>
            <c:numRef>
              <c:f>ΔIAΓPAMMATA!$I$4:$J$4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ΔIAΓPAMMATA!$K$3:$L$3</c:f>
              <c:numCache/>
            </c:numRef>
          </c:xVal>
          <c:yVal>
            <c:numRef>
              <c:f>ΔIAΓPAMMATA!$K$4:$L$4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ΔIAΓPAMMATA!$M$3:$N$3</c:f>
              <c:numCache/>
            </c:numRef>
          </c:xVal>
          <c:yVal>
            <c:numRef>
              <c:f>ΔIAΓPAMMATA!$M$4:$N$4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ΔIAΓPAMMATA!$O$3:$P$3</c:f>
              <c:numCache/>
            </c:numRef>
          </c:xVal>
          <c:yVal>
            <c:numRef>
              <c:f>ΔIAΓPAMMATA!$O$4:$P$4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ΔIAΓPAMMATA!$S$3:$T$3</c:f>
              <c:numCache/>
            </c:numRef>
          </c:xVal>
          <c:yVal>
            <c:numRef>
              <c:f>ΔIAΓPAMMATA!$S$4:$T$4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ΔIAΓPAMMATA!#REF!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ΔIAΓPAMMATA!#REF!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ΔIAΓPAMMATA!#REF!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ΔIAΓPAMMATA!#REF!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ΔIAΓPAMMATA!#REF!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ΔIAΓPAMMATA!#REF!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ΔIAΓPAMMATA!$Q$3:$R$3</c:f>
              <c:numCache/>
            </c:numRef>
          </c:xVal>
          <c:yVal>
            <c:numRef>
              <c:f>ΔIAΓPAMMATA!$Q$4:$R$4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ΔIAΓPAMMATA!$Q$5:$R$5</c:f>
              <c:numCache/>
            </c:numRef>
          </c:xVal>
          <c:yVal>
            <c:numRef>
              <c:f>ΔIAΓPAMMATA!$Q$6:$R$6</c:f>
              <c:numCache/>
            </c:numRef>
          </c:yVal>
          <c:smooth val="0"/>
        </c:ser>
        <c:axId val="58274144"/>
        <c:axId val="54705249"/>
      </c:scatterChart>
      <c:val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5249"/>
        <c:crosses val="autoZero"/>
        <c:crossBetween val="midCat"/>
        <c:dispUnits/>
      </c:valAx>
      <c:valAx>
        <c:axId val="54705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4144"/>
        <c:crosses val="autoZero"/>
        <c:crossBetween val="midCat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225"/>
          <c:w val="0.916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ΔIAΓPAMMATA!$A$28:$B$28</c:f>
              <c:numCache/>
            </c:numRef>
          </c:xVal>
          <c:yVal>
            <c:numRef>
              <c:f>ΔIAΓPAMMATA!$A$29:$B$29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ΔIAΓPAMMATA!$C$28:$D$28</c:f>
              <c:numCache/>
            </c:numRef>
          </c:xVal>
          <c:yVal>
            <c:numRef>
              <c:f>ΔIAΓPAMMATA!$C$29:$D$29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ΔIAΓPAMMATA!$E$28:$F$28</c:f>
              <c:numCache/>
            </c:numRef>
          </c:xVal>
          <c:yVal>
            <c:numRef>
              <c:f>ΔIAΓPAMMATA!$E$29:$F$29</c:f>
              <c:numCache/>
            </c:numRef>
          </c:yVal>
          <c:smooth val="0"/>
        </c:ser>
        <c:axId val="22585194"/>
        <c:axId val="1940155"/>
      </c:scatterChart>
      <c:valAx>
        <c:axId val="225851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155"/>
        <c:crosses val="autoZero"/>
        <c:crossBetween val="midCat"/>
        <c:dispUnits/>
      </c:valAx>
      <c:valAx>
        <c:axId val="194015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194"/>
        <c:crosses val="autoZero"/>
        <c:crossBetween val="midCat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Helvetica GR"/>
          <a:ea typeface="Helvetica GR"/>
          <a:cs typeface="Helvetica G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4"/>
          <c:w val="0.924"/>
          <c:h val="0.89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ΔIAΓPAMMATA!$H$28:$I$28</c:f>
              <c:numCache/>
            </c:numRef>
          </c:xVal>
          <c:yVal>
            <c:numRef>
              <c:f>ΔIAΓPAMMATA!$H$29:$I$29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ΔIAΓPAMMATA!$J$28:$K$28</c:f>
              <c:numCache/>
            </c:numRef>
          </c:xVal>
          <c:yVal>
            <c:numRef>
              <c:f>ΔIAΓPAMMATA!$J$29:$K$29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ΔIAΓPAMMATA!$L$28:$M$28</c:f>
              <c:numCache/>
            </c:numRef>
          </c:xVal>
          <c:yVal>
            <c:numRef>
              <c:f>ΔIAΓPAMMATA!$L$29:$M$29</c:f>
              <c:numCache/>
            </c:numRef>
          </c:yVal>
          <c:smooth val="0"/>
        </c:ser>
        <c:axId val="17461396"/>
        <c:axId val="22934837"/>
      </c:scatterChart>
      <c:valAx>
        <c:axId val="174613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837"/>
        <c:crosses val="autoZero"/>
        <c:crossBetween val="midCat"/>
        <c:dispUnits/>
      </c:valAx>
      <c:valAx>
        <c:axId val="2293483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3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Helvetica GR"/>
          <a:ea typeface="Helvetica GR"/>
          <a:cs typeface="Helvetica G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5975"/>
          <c:w val="0.9115"/>
          <c:h val="0.880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ΔIAΓPAMMATA!$A$44:$B$44</c:f>
              <c:numCache/>
            </c:numRef>
          </c:xVal>
          <c:yVal>
            <c:numRef>
              <c:f>ΔIAΓPAMMATA!$A$45:$B$45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ΔIAΓPAMMATA!$C$44:$D$44</c:f>
              <c:numCache/>
            </c:numRef>
          </c:xVal>
          <c:yVal>
            <c:numRef>
              <c:f>ΔIAΓPAMMATA!$C$45:$D$45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ΔIAΓPAMMATA!$E$44:$F$44</c:f>
              <c:numCache/>
            </c:numRef>
          </c:xVal>
          <c:yVal>
            <c:numRef>
              <c:f>ΔIAΓPAMMATA!$E$45:$F$45</c:f>
              <c:numCache/>
            </c:numRef>
          </c:yVal>
          <c:smooth val="0"/>
        </c:ser>
        <c:axId val="5086942"/>
        <c:axId val="45782479"/>
      </c:scatterChart>
      <c:valAx>
        <c:axId val="508694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45782479"/>
        <c:crosses val="autoZero"/>
        <c:crossBetween val="midCat"/>
        <c:dispUnits/>
      </c:valAx>
      <c:valAx>
        <c:axId val="4578247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50869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Helvetica GR"/>
          <a:ea typeface="Helvetica GR"/>
          <a:cs typeface="Helvetica G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4625"/>
          <c:w val="0.9072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ΔIAΓPAMMATA!$A$7:$B$7</c:f>
              <c:numCache/>
            </c:numRef>
          </c:xVal>
          <c:yVal>
            <c:numRef>
              <c:f>ΔIAΓPAMMATA!$A$8:$B$8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ΔIAΓPAMMATA!$C$7:$D$7</c:f>
              <c:numCache/>
            </c:numRef>
          </c:xVal>
          <c:yVal>
            <c:numRef>
              <c:f>ΔIAΓPAMMATA!$C$8:$D$8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ΔIAΓPAMMATA!$E$7:$F$7</c:f>
              <c:numCache/>
            </c:numRef>
          </c:xVal>
          <c:yVal>
            <c:numRef>
              <c:f>ΔIAΓPAMMATA!$E$8:$F$8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ΔIAΓPAMMATA!$G$7:$H$7</c:f>
              <c:numCache/>
            </c:numRef>
          </c:xVal>
          <c:yVal>
            <c:numRef>
              <c:f>ΔIAΓPAMMATA!$G$8:$H$8</c:f>
              <c:numCache/>
            </c:numRef>
          </c:yVal>
          <c:smooth val="0"/>
        </c:ser>
        <c:axId val="9389128"/>
        <c:axId val="17393289"/>
      </c:scatterChart>
      <c:valAx>
        <c:axId val="938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3289"/>
        <c:crosses val="autoZero"/>
        <c:crossBetween val="midCat"/>
        <c:dispUnits/>
      </c:valAx>
      <c:valAx>
        <c:axId val="17393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9128"/>
        <c:crosses val="autoZero"/>
        <c:crossBetween val="midCat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835"/>
          <c:w val="0.890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ΔIAΓPAMMATA!$H$28:$I$28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ΔIAΓPAMMATA!$H$29:$I$29</c:f>
              <c:numCache>
                <c:ptCount val="2"/>
                <c:pt idx="0">
                  <c:v>0</c:v>
                </c:pt>
                <c:pt idx="1">
                  <c:v>0.09312280191805442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ΔIAΓPAMMATA!$J$28:$K$28</c:f>
              <c:numCache>
                <c:ptCount val="2"/>
                <c:pt idx="0">
                  <c:v>0</c:v>
                </c:pt>
                <c:pt idx="1">
                  <c:v>1.5</c:v>
                </c:pt>
              </c:numCache>
            </c:numRef>
          </c:xVal>
          <c:yVal>
            <c:numRef>
              <c:f>ΔIAΓPAMMATA!$J$29:$K$29</c:f>
              <c:numCache>
                <c:ptCount val="2"/>
                <c:pt idx="0">
                  <c:v>0.09312280191805442</c:v>
                </c:pt>
                <c:pt idx="1">
                  <c:v>0.047545650306443484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ΔIAΓPAMMATA!$L$28:$M$28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ΔIAΓPAMMATA!$L$29:$M$29</c:f>
              <c:numCache>
                <c:ptCount val="2"/>
                <c:pt idx="0">
                  <c:v>0.047545650306443484</c:v>
                </c:pt>
                <c:pt idx="1">
                  <c:v>0</c:v>
                </c:pt>
              </c:numCache>
            </c:numRef>
          </c:yVal>
          <c:smooth val="0"/>
        </c:ser>
        <c:axId val="45023550"/>
        <c:axId val="2558767"/>
      </c:scatterChart>
      <c:valAx>
        <c:axId val="45023550"/>
        <c:scaling>
          <c:orientation val="minMax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67"/>
        <c:crosses val="autoZero"/>
        <c:crossBetween val="midCat"/>
        <c:dispUnits/>
        <c:majorUnit val="0.5"/>
      </c:valAx>
      <c:valAx>
        <c:axId val="255876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235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Helvetica GR"/>
          <a:ea typeface="Helvetica GR"/>
          <a:cs typeface="Helvetica G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4625"/>
          <c:w val="0.90725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ΔIAΓPAMMATA!$A$10:$B$10</c:f>
              <c:numCache/>
            </c:numRef>
          </c:xVal>
          <c:yVal>
            <c:numRef>
              <c:f>ΔIAΓPAMMATA!$A$11:$B$11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ΔIAΓPAMMATA!$C$10:$D$10</c:f>
              <c:numCache/>
            </c:numRef>
          </c:xVal>
          <c:yVal>
            <c:numRef>
              <c:f>ΔIAΓPAMMATA!$C$11:$D$11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ΔIAΓPAMMATA!$E$10:$F$10</c:f>
              <c:numCache/>
            </c:numRef>
          </c:xVal>
          <c:yVal>
            <c:numRef>
              <c:f>ΔIAΓPAMMATA!$E$11:$F$11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ΔIAΓPAMMATA!$G$10:$H$10</c:f>
              <c:numCache/>
            </c:numRef>
          </c:xVal>
          <c:yVal>
            <c:numRef>
              <c:f>ΔIAΓPAMMATA!$G$11:$H$11</c:f>
              <c:numCache/>
            </c:numRef>
          </c:yVal>
          <c:smooth val="0"/>
        </c:ser>
        <c:axId val="22321874"/>
        <c:axId val="66679139"/>
      </c:scatterChart>
      <c:valAx>
        <c:axId val="2232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9139"/>
        <c:crosses val="autoZero"/>
        <c:crossBetween val="midCat"/>
        <c:dispUnits/>
      </c:valAx>
      <c:valAx>
        <c:axId val="66679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874"/>
        <c:crosses val="autoZero"/>
        <c:crossBetween val="midCat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625"/>
          <c:w val="0.913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ΔIAΓPAMMATA!$A$7:$B$7</c:f>
              <c:numCache/>
            </c:numRef>
          </c:xVal>
          <c:yVal>
            <c:numRef>
              <c:f>ΔIAΓPAMMATA!$A$8:$B$8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ΔIAΓPAMMATA!$C$7:$D$7</c:f>
              <c:numCache/>
            </c:numRef>
          </c:xVal>
          <c:yVal>
            <c:numRef>
              <c:f>ΔIAΓPAMMATA!$C$8:$D$8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ΔIAΓPAMMATA!$E$7:$F$7</c:f>
              <c:numCache/>
            </c:numRef>
          </c:xVal>
          <c:yVal>
            <c:numRef>
              <c:f>ΔIAΓPAMMATA!$E$8:$F$8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ΔIAΓPAMMATA!$G$7:$H$7</c:f>
              <c:numCache/>
            </c:numRef>
          </c:xVal>
          <c:yVal>
            <c:numRef>
              <c:f>ΔIAΓPAMMATA!$G$8:$H$8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ΔIAΓPAMMATA!$A$10:$B$10</c:f>
              <c:numCache/>
            </c:numRef>
          </c:xVal>
          <c:yVal>
            <c:numRef>
              <c:f>ΔIAΓPAMMATA!$A$11:$B$11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ΔIAΓPAMMATA!$C$10:$D$10</c:f>
              <c:numCache/>
            </c:numRef>
          </c:xVal>
          <c:yVal>
            <c:numRef>
              <c:f>ΔIAΓPAMMATA!$C$11:$D$11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ΔIAΓPAMMATA!$C$10:$D$10</c:f>
              <c:numCache/>
            </c:numRef>
          </c:xVal>
          <c:yVal>
            <c:numRef>
              <c:f>ΔIAΓPAMMATA!$C$11:$D$11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ΔIAΓPAMMATA!$E$10:$F$10</c:f>
              <c:numCache/>
            </c:numRef>
          </c:xVal>
          <c:yVal>
            <c:numRef>
              <c:f>ΔIAΓPAMMATA!$E$11:$F$11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ΔIAΓPAMMATA!$G$10:$H$10</c:f>
              <c:numCache/>
            </c:numRef>
          </c:xVal>
          <c:yVal>
            <c:numRef>
              <c:f>ΔIAΓPAMMATA!$G$11:$H$11</c:f>
              <c:numCache/>
            </c:numRef>
          </c:yVal>
          <c:smooth val="0"/>
        </c:ser>
        <c:axId val="63241340"/>
        <c:axId val="32301149"/>
      </c:scatterChart>
      <c:valAx>
        <c:axId val="6324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1149"/>
        <c:crosses val="autoZero"/>
        <c:crossBetween val="midCat"/>
        <c:dispUnits/>
      </c:val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1340"/>
        <c:crosses val="autoZero"/>
        <c:crossBetween val="midCat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625"/>
          <c:w val="0.913"/>
          <c:h val="0.907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ΔIAΓPAMMATA!$J$7:$K$7</c:f>
              <c:numCache/>
            </c:numRef>
          </c:xVal>
          <c:yVal>
            <c:numRef>
              <c:f>ΔIAΓPAMMATA!$J$8:$K$8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ΔIAΓPAMMATA!$L$7:$M$7</c:f>
              <c:numCache/>
            </c:numRef>
          </c:xVal>
          <c:yVal>
            <c:numRef>
              <c:f>ΔIAΓPAMMATA!$L$8:$M$8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ΔIAΓPAMMATA!$N$7:$O$7</c:f>
              <c:numCache/>
            </c:numRef>
          </c:xVal>
          <c:yVal>
            <c:numRef>
              <c:f>ΔIAΓPAMMATA!$N$8:$O$8</c:f>
              <c:numCache/>
            </c:numRef>
          </c:yVal>
          <c:smooth val="0"/>
        </c:ser>
        <c:axId val="22274886"/>
        <c:axId val="66256247"/>
      </c:scatterChart>
      <c:val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6247"/>
        <c:crosses val="autoZero"/>
        <c:crossBetween val="midCat"/>
        <c:dispUnits/>
      </c:valAx>
      <c:valAx>
        <c:axId val="66256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74886"/>
        <c:crosses val="autoZero"/>
        <c:crossBetween val="midCat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835"/>
          <c:w val="0.890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ΔIAΓPAMMATA!$A$44:$B$44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ΔIAΓPAMMATA!$A$45:$B$45</c:f>
              <c:numCache>
                <c:ptCount val="2"/>
                <c:pt idx="0">
                  <c:v>0</c:v>
                </c:pt>
                <c:pt idx="1">
                  <c:v>0.1694452279281761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DD0806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ΔIAΓPAMMATA!$C$44:$D$44</c:f>
              <c:numCache>
                <c:ptCount val="2"/>
                <c:pt idx="0">
                  <c:v>0</c:v>
                </c:pt>
                <c:pt idx="1">
                  <c:v>1.5</c:v>
                </c:pt>
              </c:numCache>
            </c:numRef>
          </c:xVal>
          <c:yVal>
            <c:numRef>
              <c:f>ΔIAΓPAMMATA!$C$45:$D$45</c:f>
              <c:numCache>
                <c:ptCount val="2"/>
                <c:pt idx="0">
                  <c:v>0.1694452279281761</c:v>
                </c:pt>
                <c:pt idx="1">
                  <c:v>-0.0415422180374048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ΔIAΓPAMMATA!$E$44:$F$44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ΔIAΓPAMMATA!$E$45:$F$45</c:f>
              <c:numCache>
                <c:ptCount val="2"/>
                <c:pt idx="0">
                  <c:v>-0.0415422180374048</c:v>
                </c:pt>
                <c:pt idx="1">
                  <c:v>0</c:v>
                </c:pt>
              </c:numCache>
            </c:numRef>
          </c:yVal>
          <c:smooth val="0"/>
        </c:ser>
        <c:axId val="23028904"/>
        <c:axId val="5933545"/>
      </c:scatterChart>
      <c:valAx>
        <c:axId val="23028904"/>
        <c:scaling>
          <c:orientation val="minMax"/>
        </c:scaling>
        <c:axPos val="t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5933545"/>
        <c:crosses val="autoZero"/>
        <c:crossBetween val="midCat"/>
        <c:dispUnits/>
        <c:majorUnit val="0.5"/>
      </c:valAx>
      <c:valAx>
        <c:axId val="593354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230289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Helvetica GR"/>
          <a:ea typeface="Helvetica GR"/>
          <a:cs typeface="Helvetica G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4725"/>
          <c:w val="0.918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'TOIXOΣ BAPYTHTAΣ'!$A$426:$A$436</c:f>
              <c:numCache/>
            </c:numRef>
          </c:cat>
          <c:val>
            <c:numRef>
              <c:f>'TOIXOΣ BAPYTHTAΣ'!$D$426:$D$436</c:f>
              <c:numCache/>
            </c:numRef>
          </c:val>
        </c:ser>
        <c:gapWidth val="50"/>
        <c:axId val="53401906"/>
        <c:axId val="10855107"/>
      </c:barChart>
      <c:catAx>
        <c:axId val="53401906"/>
        <c:scaling>
          <c:orientation val="maxMin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10855107"/>
        <c:crosses val="autoZero"/>
        <c:auto val="1"/>
        <c:lblOffset val="100"/>
        <c:tickLblSkip val="2"/>
        <c:noMultiLvlLbl val="0"/>
      </c:catAx>
      <c:valAx>
        <c:axId val="1085510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5340190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Helvetica GR"/>
          <a:ea typeface="Helvetica GR"/>
          <a:cs typeface="Helvetica G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725"/>
          <c:w val="0.917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'TOIXOΣ BAPYTHTAΣ'!$A$426:$A$436</c:f>
              <c:numCache/>
            </c:numRef>
          </c:cat>
          <c:val>
            <c:numRef>
              <c:f>'TOIXOΣ BAPYTHTAΣ'!$E$426:$E$436</c:f>
              <c:numCache/>
            </c:numRef>
          </c:val>
        </c:ser>
        <c:gapWidth val="50"/>
        <c:axId val="30587100"/>
        <c:axId val="6848445"/>
      </c:barChart>
      <c:catAx>
        <c:axId val="305871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710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Helvetica GR"/>
          <a:ea typeface="Helvetica GR"/>
          <a:cs typeface="Helvetica G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4725"/>
          <c:w val="0.918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'TOIXOΣ BAPYTHTAΣ'!$A$426:$A$436</c:f>
              <c:numCache/>
            </c:numRef>
          </c:cat>
          <c:val>
            <c:numRef>
              <c:f>'TOIXOΣ BAPYTHTAΣ'!$F$426:$F$436</c:f>
              <c:numCache/>
            </c:numRef>
          </c:val>
        </c:ser>
        <c:gapWidth val="50"/>
        <c:axId val="61636006"/>
        <c:axId val="17853143"/>
      </c:barChart>
      <c:catAx>
        <c:axId val="616360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600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Helvetica GR"/>
          <a:ea typeface="Helvetica GR"/>
          <a:cs typeface="Helvetica G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725"/>
          <c:w val="0.91775"/>
          <c:h val="0.9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'TOIXOΣ BAPYTHTAΣ'!$A$498:$A$508</c:f>
              <c:numCache/>
            </c:numRef>
          </c:cat>
          <c:val>
            <c:numRef>
              <c:f>'TOIXOΣ BAPYTHTAΣ'!$E$498:$E$508</c:f>
              <c:numCache/>
            </c:numRef>
          </c:val>
        </c:ser>
        <c:gapWidth val="50"/>
        <c:axId val="26460560"/>
        <c:axId val="36818449"/>
      </c:barChart>
      <c:catAx>
        <c:axId val="264605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18449"/>
        <c:crosses val="autoZero"/>
        <c:auto val="1"/>
        <c:lblOffset val="100"/>
        <c:tickLblSkip val="1"/>
        <c:noMultiLvlLbl val="0"/>
      </c:catAx>
      <c:valAx>
        <c:axId val="3681844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05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Helvetica GR"/>
          <a:ea typeface="Helvetica GR"/>
          <a:cs typeface="Helvetica G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4725"/>
          <c:w val="0.91875"/>
          <c:h val="0.9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'TOIXOΣ BAPYTHTAΣ'!$A$498:$A$508</c:f>
              <c:numCache/>
            </c:numRef>
          </c:cat>
          <c:val>
            <c:numRef>
              <c:f>'TOIXOΣ BAPYTHTAΣ'!$F$498:$F$508</c:f>
              <c:numCache/>
            </c:numRef>
          </c:val>
        </c:ser>
        <c:gapWidth val="50"/>
        <c:axId val="62930586"/>
        <c:axId val="29504363"/>
      </c:barChart>
      <c:catAx>
        <c:axId val="62930586"/>
        <c:scaling>
          <c:orientation val="maxMin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Helvetica GR"/>
          <a:ea typeface="Helvetica GR"/>
          <a:cs typeface="Helvetica G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215"/>
          <c:w val="0.9535"/>
          <c:h val="0.95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ΔIAΓPAMMATA!$A$3:$B$3</c:f>
              <c:numCache>
                <c:ptCount val="2"/>
                <c:pt idx="0">
                  <c:v>1.5</c:v>
                </c:pt>
                <c:pt idx="1">
                  <c:v>1</c:v>
                </c:pt>
              </c:numCache>
            </c:numRef>
          </c:xVal>
          <c:yVal>
            <c:numRef>
              <c:f>ΔIAΓPAMMATA!$A$4:$B$4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ΔIAΓPAMMATA!$C$3:$D$3</c:f>
              <c:numCache>
                <c:ptCount val="2"/>
                <c:pt idx="0">
                  <c:v>1</c:v>
                </c:pt>
                <c:pt idx="1">
                  <c:v>0.5</c:v>
                </c:pt>
              </c:numCache>
            </c:numRef>
          </c:xVal>
          <c:yVal>
            <c:numRef>
              <c:f>ΔIAΓPAMMATA!$C$4:$D$4</c:f>
              <c:numCache>
                <c:ptCount val="2"/>
                <c:pt idx="0">
                  <c:v>3</c:v>
                </c:pt>
                <c:pt idx="1">
                  <c:v>0.8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ΔIAΓPAMMATA!$E$3:$F$3</c:f>
              <c:numCache>
                <c:ptCount val="2"/>
                <c:pt idx="0">
                  <c:v>0.5</c:v>
                </c:pt>
                <c:pt idx="1">
                  <c:v>0</c:v>
                </c:pt>
              </c:numCache>
            </c:numRef>
          </c:xVal>
          <c:yVal>
            <c:numRef>
              <c:f>ΔIAΓPAMMATA!$E$4:$F$4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ΔIAΓPAMMATA!$G$3:$H$3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ΔIAΓPAMMATA!$G$4:$H$4</c:f>
              <c:numCache>
                <c:ptCount val="2"/>
                <c:pt idx="0">
                  <c:v>0.8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ΔIAΓPAMMATA!$I$3:$J$3</c:f>
              <c:numCache>
                <c:ptCount val="2"/>
                <c:pt idx="0">
                  <c:v>0</c:v>
                </c:pt>
                <c:pt idx="1">
                  <c:v>1.5</c:v>
                </c:pt>
              </c:numCache>
            </c:numRef>
          </c:xVal>
          <c:yVal>
            <c:numRef>
              <c:f>ΔIAΓPAMMATA!$I$4:$J$4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ΔIAΓPAMMATA!$K$3:$L$3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ΔIAΓPAMMATA!$K$4:$L$4</c:f>
              <c:numCach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ΔIAΓPAMMATA!$M$3:$N$3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ΔIAΓPAMMATA!$M$4:$N$4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ΔIAΓPAMMATA!$O$3:$P$3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ΔIAΓPAMMATA!$O$4:$P$4</c:f>
              <c:numCache>
                <c:ptCount val="2"/>
                <c:pt idx="0">
                  <c:v>0.8</c:v>
                </c:pt>
                <c:pt idx="1">
                  <c:v>3</c:v>
                </c:pt>
              </c:numCache>
            </c:numRef>
          </c:yVal>
          <c:smooth val="0"/>
        </c:ser>
        <c:ser>
          <c:idx val="8"/>
          <c:order val="8"/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ΔIAΓPAMMATA!$S$3:$T$3</c:f>
              <c:numCach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xVal>
          <c:yVal>
            <c:numRef>
              <c:f>ΔIAΓPAMMATA!$S$4:$T$4</c:f>
              <c:numCach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ΔIAΓPAMMATA!#REF!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ΔIAΓPAMMATA!#REF!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ΔIAΓPAMMATA!#REF!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ΔIAΓPAMMATA!#REF!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ΔIAΓPAMMATA!#REF!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ΔIAΓPAMMATA!#REF!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2"/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ΔIAΓPAMMATA!$Q$3:$R$3</c:f>
              <c:numCache>
                <c:ptCount val="2"/>
                <c:pt idx="0">
                  <c:v>1.5</c:v>
                </c:pt>
                <c:pt idx="1">
                  <c:v>2.5</c:v>
                </c:pt>
              </c:numCache>
            </c:numRef>
          </c:xVal>
          <c:yVal>
            <c:numRef>
              <c:f>ΔIAΓPAMMATA!$Q$4:$R$4</c:f>
              <c:numCache>
                <c:ptCount val="2"/>
                <c:pt idx="0">
                  <c:v>3</c:v>
                </c:pt>
                <c:pt idx="1">
                  <c:v>3.1405408347023913</c:v>
                </c:pt>
              </c:numCache>
            </c:numRef>
          </c:yVal>
          <c:smooth val="0"/>
        </c:ser>
        <c:ser>
          <c:idx val="13"/>
          <c:order val="13"/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Helvetica GR"/>
                    <a:ea typeface="Helvetica GR"/>
                    <a:cs typeface="Helvetica GR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ΔIAΓPAMMATA!$Q$5:$R$5</c:f>
              <c:numCache>
                <c:ptCount val="2"/>
                <c:pt idx="0">
                  <c:v>1.5</c:v>
                </c:pt>
                <c:pt idx="1">
                  <c:v>2.5</c:v>
                </c:pt>
              </c:numCache>
            </c:numRef>
          </c:xVal>
          <c:yVal>
            <c:numRef>
              <c:f>ΔIAΓPAMMATA!$Q$6:$R$6</c:f>
              <c:numCache>
                <c:ptCount val="2"/>
                <c:pt idx="0">
                  <c:v>1.2</c:v>
                </c:pt>
                <c:pt idx="1">
                  <c:v>1.2</c:v>
                </c:pt>
              </c:numCache>
            </c:numRef>
          </c:yVal>
          <c:smooth val="0"/>
        </c:ser>
        <c:axId val="64212676"/>
        <c:axId val="41043173"/>
      </c:scatterChart>
      <c:val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41043173"/>
        <c:crosses val="autoZero"/>
        <c:crossBetween val="midCat"/>
        <c:dispUnits/>
      </c:valAx>
      <c:valAx>
        <c:axId val="410431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Helvetica GR"/>
                <a:ea typeface="Helvetica GR"/>
                <a:cs typeface="Helvetica GR"/>
              </a:defRPr>
            </a:pPr>
          </a:p>
        </c:txPr>
        <c:crossAx val="642126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wmf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256</xdr:row>
      <xdr:rowOff>0</xdr:rowOff>
    </xdr:from>
    <xdr:to>
      <xdr:col>12</xdr:col>
      <xdr:colOff>0</xdr:colOff>
      <xdr:row>263</xdr:row>
      <xdr:rowOff>9525</xdr:rowOff>
    </xdr:to>
    <xdr:graphicFrame>
      <xdr:nvGraphicFramePr>
        <xdr:cNvPr id="1" name="Chart 11"/>
        <xdr:cNvGraphicFramePr/>
      </xdr:nvGraphicFramePr>
      <xdr:xfrm>
        <a:off x="6086475" y="48406050"/>
        <a:ext cx="2057400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279</xdr:row>
      <xdr:rowOff>0</xdr:rowOff>
    </xdr:from>
    <xdr:to>
      <xdr:col>12</xdr:col>
      <xdr:colOff>0</xdr:colOff>
      <xdr:row>286</xdr:row>
      <xdr:rowOff>0</xdr:rowOff>
    </xdr:to>
    <xdr:graphicFrame>
      <xdr:nvGraphicFramePr>
        <xdr:cNvPr id="2" name="Chart 12"/>
        <xdr:cNvGraphicFramePr/>
      </xdr:nvGraphicFramePr>
      <xdr:xfrm>
        <a:off x="6086475" y="52482750"/>
        <a:ext cx="2057400" cy="120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366</xdr:row>
      <xdr:rowOff>0</xdr:rowOff>
    </xdr:from>
    <xdr:to>
      <xdr:col>12</xdr:col>
      <xdr:colOff>0</xdr:colOff>
      <xdr:row>373</xdr:row>
      <xdr:rowOff>0</xdr:rowOff>
    </xdr:to>
    <xdr:graphicFrame>
      <xdr:nvGraphicFramePr>
        <xdr:cNvPr id="3" name="Chart 13"/>
        <xdr:cNvGraphicFramePr/>
      </xdr:nvGraphicFramePr>
      <xdr:xfrm>
        <a:off x="6086475" y="68770500"/>
        <a:ext cx="2057400" cy="120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437</xdr:row>
      <xdr:rowOff>0</xdr:rowOff>
    </xdr:from>
    <xdr:to>
      <xdr:col>4</xdr:col>
      <xdr:colOff>0</xdr:colOff>
      <xdr:row>449</xdr:row>
      <xdr:rowOff>0</xdr:rowOff>
    </xdr:to>
    <xdr:graphicFrame>
      <xdr:nvGraphicFramePr>
        <xdr:cNvPr id="4" name="Chart 18"/>
        <xdr:cNvGraphicFramePr/>
      </xdr:nvGraphicFramePr>
      <xdr:xfrm>
        <a:off x="9525" y="84020025"/>
        <a:ext cx="26955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437</xdr:row>
      <xdr:rowOff>0</xdr:rowOff>
    </xdr:from>
    <xdr:to>
      <xdr:col>8</xdr:col>
      <xdr:colOff>0</xdr:colOff>
      <xdr:row>449</xdr:row>
      <xdr:rowOff>0</xdr:rowOff>
    </xdr:to>
    <xdr:graphicFrame>
      <xdr:nvGraphicFramePr>
        <xdr:cNvPr id="5" name="Chart 19"/>
        <xdr:cNvGraphicFramePr/>
      </xdr:nvGraphicFramePr>
      <xdr:xfrm>
        <a:off x="2705100" y="84020025"/>
        <a:ext cx="2695575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437</xdr:row>
      <xdr:rowOff>0</xdr:rowOff>
    </xdr:from>
    <xdr:to>
      <xdr:col>12</xdr:col>
      <xdr:colOff>0</xdr:colOff>
      <xdr:row>449</xdr:row>
      <xdr:rowOff>0</xdr:rowOff>
    </xdr:to>
    <xdr:graphicFrame>
      <xdr:nvGraphicFramePr>
        <xdr:cNvPr id="6" name="Chart 21"/>
        <xdr:cNvGraphicFramePr/>
      </xdr:nvGraphicFramePr>
      <xdr:xfrm>
        <a:off x="5400675" y="84020025"/>
        <a:ext cx="2743200" cy="205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510</xdr:row>
      <xdr:rowOff>0</xdr:rowOff>
    </xdr:from>
    <xdr:to>
      <xdr:col>8</xdr:col>
      <xdr:colOff>0</xdr:colOff>
      <xdr:row>522</xdr:row>
      <xdr:rowOff>0</xdr:rowOff>
    </xdr:to>
    <xdr:graphicFrame>
      <xdr:nvGraphicFramePr>
        <xdr:cNvPr id="7" name="Chart 23"/>
        <xdr:cNvGraphicFramePr/>
      </xdr:nvGraphicFramePr>
      <xdr:xfrm>
        <a:off x="2705100" y="97878900"/>
        <a:ext cx="2695575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510</xdr:row>
      <xdr:rowOff>0</xdr:rowOff>
    </xdr:from>
    <xdr:to>
      <xdr:col>12</xdr:col>
      <xdr:colOff>0</xdr:colOff>
      <xdr:row>522</xdr:row>
      <xdr:rowOff>0</xdr:rowOff>
    </xdr:to>
    <xdr:graphicFrame>
      <xdr:nvGraphicFramePr>
        <xdr:cNvPr id="8" name="Chart 24"/>
        <xdr:cNvGraphicFramePr/>
      </xdr:nvGraphicFramePr>
      <xdr:xfrm>
        <a:off x="5400675" y="97878900"/>
        <a:ext cx="2743200" cy="2057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34</xdr:row>
      <xdr:rowOff>0</xdr:rowOff>
    </xdr:from>
    <xdr:to>
      <xdr:col>10</xdr:col>
      <xdr:colOff>9525</xdr:colOff>
      <xdr:row>60</xdr:row>
      <xdr:rowOff>0</xdr:rowOff>
    </xdr:to>
    <xdr:graphicFrame>
      <xdr:nvGraphicFramePr>
        <xdr:cNvPr id="9" name="Chart 25"/>
        <xdr:cNvGraphicFramePr/>
      </xdr:nvGraphicFramePr>
      <xdr:xfrm>
        <a:off x="2028825" y="6410325"/>
        <a:ext cx="4752975" cy="445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510</xdr:row>
      <xdr:rowOff>0</xdr:rowOff>
    </xdr:from>
    <xdr:to>
      <xdr:col>4</xdr:col>
      <xdr:colOff>0</xdr:colOff>
      <xdr:row>522</xdr:row>
      <xdr:rowOff>0</xdr:rowOff>
    </xdr:to>
    <xdr:graphicFrame>
      <xdr:nvGraphicFramePr>
        <xdr:cNvPr id="10" name="Chart 29"/>
        <xdr:cNvGraphicFramePr/>
      </xdr:nvGraphicFramePr>
      <xdr:xfrm>
        <a:off x="0" y="97878900"/>
        <a:ext cx="270510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6</xdr:col>
      <xdr:colOff>0</xdr:colOff>
      <xdr:row>4</xdr:row>
      <xdr:rowOff>0</xdr:rowOff>
    </xdr:from>
    <xdr:to>
      <xdr:col>11</xdr:col>
      <xdr:colOff>600075</xdr:colOff>
      <xdr:row>30</xdr:row>
      <xdr:rowOff>47625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29075" y="1114425"/>
          <a:ext cx="402907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123</xdr:row>
      <xdr:rowOff>0</xdr:rowOff>
    </xdr:from>
    <xdr:to>
      <xdr:col>12</xdr:col>
      <xdr:colOff>0</xdr:colOff>
      <xdr:row>131</xdr:row>
      <xdr:rowOff>0</xdr:rowOff>
    </xdr:to>
    <xdr:graphicFrame>
      <xdr:nvGraphicFramePr>
        <xdr:cNvPr id="12" name="Chart 31"/>
        <xdr:cNvGraphicFramePr/>
      </xdr:nvGraphicFramePr>
      <xdr:xfrm>
        <a:off x="5410200" y="23117175"/>
        <a:ext cx="2733675" cy="1371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9525</xdr:colOff>
      <xdr:row>133</xdr:row>
      <xdr:rowOff>0</xdr:rowOff>
    </xdr:from>
    <xdr:to>
      <xdr:col>12</xdr:col>
      <xdr:colOff>0</xdr:colOff>
      <xdr:row>141</xdr:row>
      <xdr:rowOff>0</xdr:rowOff>
    </xdr:to>
    <xdr:graphicFrame>
      <xdr:nvGraphicFramePr>
        <xdr:cNvPr id="13" name="Chart 32"/>
        <xdr:cNvGraphicFramePr/>
      </xdr:nvGraphicFramePr>
      <xdr:xfrm>
        <a:off x="5410200" y="24974550"/>
        <a:ext cx="2733675" cy="1371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9525</xdr:colOff>
      <xdr:row>145</xdr:row>
      <xdr:rowOff>0</xdr:rowOff>
    </xdr:from>
    <xdr:to>
      <xdr:col>11</xdr:col>
      <xdr:colOff>676275</xdr:colOff>
      <xdr:row>154</xdr:row>
      <xdr:rowOff>0</xdr:rowOff>
    </xdr:to>
    <xdr:graphicFrame>
      <xdr:nvGraphicFramePr>
        <xdr:cNvPr id="14" name="Chart 33"/>
        <xdr:cNvGraphicFramePr/>
      </xdr:nvGraphicFramePr>
      <xdr:xfrm>
        <a:off x="5410200" y="27184350"/>
        <a:ext cx="272415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0</xdr:colOff>
      <xdr:row>213</xdr:row>
      <xdr:rowOff>0</xdr:rowOff>
    </xdr:from>
    <xdr:to>
      <xdr:col>12</xdr:col>
      <xdr:colOff>0</xdr:colOff>
      <xdr:row>221</xdr:row>
      <xdr:rowOff>0</xdr:rowOff>
    </xdr:to>
    <xdr:graphicFrame>
      <xdr:nvGraphicFramePr>
        <xdr:cNvPr id="15" name="Chart 34"/>
        <xdr:cNvGraphicFramePr/>
      </xdr:nvGraphicFramePr>
      <xdr:xfrm>
        <a:off x="5400675" y="40338375"/>
        <a:ext cx="2743200" cy="1371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26</xdr:row>
      <xdr:rowOff>0</xdr:rowOff>
    </xdr:from>
    <xdr:to>
      <xdr:col>20</xdr:col>
      <xdr:colOff>304800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7334250" y="4210050"/>
        <a:ext cx="34480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29</xdr:row>
      <xdr:rowOff>104775</xdr:rowOff>
    </xdr:from>
    <xdr:to>
      <xdr:col>5</xdr:col>
      <xdr:colOff>342900</xdr:colOff>
      <xdr:row>41</xdr:row>
      <xdr:rowOff>19050</xdr:rowOff>
    </xdr:to>
    <xdr:graphicFrame>
      <xdr:nvGraphicFramePr>
        <xdr:cNvPr id="2" name="Chart 14"/>
        <xdr:cNvGraphicFramePr/>
      </xdr:nvGraphicFramePr>
      <xdr:xfrm>
        <a:off x="342900" y="4800600"/>
        <a:ext cx="26193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29</xdr:row>
      <xdr:rowOff>114300</xdr:rowOff>
    </xdr:from>
    <xdr:to>
      <xdr:col>12</xdr:col>
      <xdr:colOff>295275</xdr:colOff>
      <xdr:row>40</xdr:row>
      <xdr:rowOff>133350</xdr:rowOff>
    </xdr:to>
    <xdr:graphicFrame>
      <xdr:nvGraphicFramePr>
        <xdr:cNvPr id="3" name="Chart 17"/>
        <xdr:cNvGraphicFramePr/>
      </xdr:nvGraphicFramePr>
      <xdr:xfrm>
        <a:off x="3676650" y="4810125"/>
        <a:ext cx="2905125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485775</xdr:colOff>
      <xdr:row>46</xdr:row>
      <xdr:rowOff>85725</xdr:rowOff>
    </xdr:from>
    <xdr:to>
      <xdr:col>5</xdr:col>
      <xdr:colOff>371475</xdr:colOff>
      <xdr:row>56</xdr:row>
      <xdr:rowOff>104775</xdr:rowOff>
    </xdr:to>
    <xdr:graphicFrame>
      <xdr:nvGraphicFramePr>
        <xdr:cNvPr id="4" name="Chart 20"/>
        <xdr:cNvGraphicFramePr/>
      </xdr:nvGraphicFramePr>
      <xdr:xfrm>
        <a:off x="485775" y="7534275"/>
        <a:ext cx="2505075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12</xdr:row>
      <xdr:rowOff>0</xdr:rowOff>
    </xdr:from>
    <xdr:to>
      <xdr:col>4</xdr:col>
      <xdr:colOff>314325</xdr:colOff>
      <xdr:row>24</xdr:row>
      <xdr:rowOff>133350</xdr:rowOff>
    </xdr:to>
    <xdr:graphicFrame>
      <xdr:nvGraphicFramePr>
        <xdr:cNvPr id="5" name="Chart 24"/>
        <xdr:cNvGraphicFramePr/>
      </xdr:nvGraphicFramePr>
      <xdr:xfrm>
        <a:off x="28575" y="1943100"/>
        <a:ext cx="2381250" cy="2076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304800</xdr:colOff>
      <xdr:row>12</xdr:row>
      <xdr:rowOff>0</xdr:rowOff>
    </xdr:from>
    <xdr:to>
      <xdr:col>9</xdr:col>
      <xdr:colOff>66675</xdr:colOff>
      <xdr:row>24</xdr:row>
      <xdr:rowOff>133350</xdr:rowOff>
    </xdr:to>
    <xdr:graphicFrame>
      <xdr:nvGraphicFramePr>
        <xdr:cNvPr id="6" name="Chart 28"/>
        <xdr:cNvGraphicFramePr/>
      </xdr:nvGraphicFramePr>
      <xdr:xfrm>
        <a:off x="2400300" y="1943100"/>
        <a:ext cx="2381250" cy="207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12</xdr:row>
      <xdr:rowOff>0</xdr:rowOff>
    </xdr:from>
    <xdr:to>
      <xdr:col>14</xdr:col>
      <xdr:colOff>0</xdr:colOff>
      <xdr:row>24</xdr:row>
      <xdr:rowOff>133350</xdr:rowOff>
    </xdr:to>
    <xdr:graphicFrame>
      <xdr:nvGraphicFramePr>
        <xdr:cNvPr id="7" name="Chart 32"/>
        <xdr:cNvGraphicFramePr/>
      </xdr:nvGraphicFramePr>
      <xdr:xfrm>
        <a:off x="4781550" y="1943100"/>
        <a:ext cx="2552700" cy="2076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18</xdr:col>
      <xdr:colOff>457200</xdr:colOff>
      <xdr:row>24</xdr:row>
      <xdr:rowOff>133350</xdr:rowOff>
    </xdr:to>
    <xdr:graphicFrame>
      <xdr:nvGraphicFramePr>
        <xdr:cNvPr id="8" name="Chart 42"/>
        <xdr:cNvGraphicFramePr/>
      </xdr:nvGraphicFramePr>
      <xdr:xfrm>
        <a:off x="7334250" y="1943100"/>
        <a:ext cx="2552700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1"/>
  <sheetViews>
    <sheetView tabSelected="1" zoomScale="85" zoomScaleNormal="85" zoomScalePageLayoutView="0" workbookViewId="0" topLeftCell="A1">
      <selection activeCell="F5" sqref="F5"/>
    </sheetView>
  </sheetViews>
  <sheetFormatPr defaultColWidth="9.00390625" defaultRowHeight="13.5" customHeight="1"/>
  <cols>
    <col min="1" max="4" width="8.875" style="0" customWidth="1"/>
    <col min="5" max="5" width="8.375" style="0" customWidth="1"/>
  </cols>
  <sheetData>
    <row r="1" spans="1:12" ht="24.75" customHeight="1">
      <c r="A1" s="252" t="s">
        <v>159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ht="19.5" customHeight="1">
      <c r="A2" s="255" t="s">
        <v>307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12" ht="13.5" customHeight="1">
      <c r="A3" s="258" t="s">
        <v>419</v>
      </c>
      <c r="B3" s="259"/>
      <c r="C3" s="259"/>
      <c r="D3" s="259"/>
      <c r="E3" s="259"/>
      <c r="F3" s="259"/>
      <c r="G3" s="260"/>
      <c r="H3" s="260"/>
      <c r="I3" s="260"/>
      <c r="J3" s="260"/>
      <c r="K3" s="260"/>
      <c r="L3" s="261"/>
    </row>
    <row r="4" spans="1:12" ht="30" customHeight="1">
      <c r="A4" s="128" t="s">
        <v>213</v>
      </c>
      <c r="B4" s="13"/>
      <c r="C4" s="13"/>
      <c r="D4" s="13"/>
      <c r="E4" s="13"/>
      <c r="F4" s="13"/>
      <c r="G4" s="28"/>
      <c r="H4" s="29"/>
      <c r="I4" s="29"/>
      <c r="J4" s="29"/>
      <c r="K4" s="29"/>
      <c r="L4" s="30"/>
    </row>
    <row r="5" spans="1:12" ht="13.5" customHeight="1">
      <c r="A5" s="9" t="s">
        <v>113</v>
      </c>
      <c r="B5" s="10"/>
      <c r="C5" s="10"/>
      <c r="D5" s="11"/>
      <c r="E5" s="16" t="s">
        <v>114</v>
      </c>
      <c r="F5" s="215">
        <v>3</v>
      </c>
      <c r="G5" s="12"/>
      <c r="H5" s="13"/>
      <c r="I5" s="13"/>
      <c r="J5" s="13"/>
      <c r="K5" s="13"/>
      <c r="L5" s="14"/>
    </row>
    <row r="6" spans="1:12" ht="13.5" customHeight="1">
      <c r="A6" s="1" t="s">
        <v>115</v>
      </c>
      <c r="B6" s="2"/>
      <c r="C6" s="2"/>
      <c r="D6" s="3"/>
      <c r="E6" s="16" t="s">
        <v>116</v>
      </c>
      <c r="F6" s="215">
        <v>0.5</v>
      </c>
      <c r="G6" s="12"/>
      <c r="H6" s="13"/>
      <c r="I6" s="13"/>
      <c r="J6" s="13"/>
      <c r="K6" s="13"/>
      <c r="L6" s="14"/>
    </row>
    <row r="7" spans="1:12" ht="13.5" customHeight="1">
      <c r="A7" s="1" t="s">
        <v>414</v>
      </c>
      <c r="B7" s="2"/>
      <c r="C7" s="2"/>
      <c r="D7" s="3"/>
      <c r="E7" s="16" t="s">
        <v>117</v>
      </c>
      <c r="F7" s="215">
        <v>0.5</v>
      </c>
      <c r="G7" s="12"/>
      <c r="H7" s="13"/>
      <c r="I7" s="13"/>
      <c r="J7" s="13"/>
      <c r="K7" s="13"/>
      <c r="L7" s="14"/>
    </row>
    <row r="8" spans="1:12" ht="13.5" customHeight="1">
      <c r="A8" s="12" t="s">
        <v>415</v>
      </c>
      <c r="B8" s="13"/>
      <c r="C8" s="13"/>
      <c r="D8" s="14"/>
      <c r="E8" s="16" t="s">
        <v>11</v>
      </c>
      <c r="F8" s="216">
        <v>0</v>
      </c>
      <c r="G8" s="12"/>
      <c r="H8" s="13"/>
      <c r="I8" s="13"/>
      <c r="J8" s="13"/>
      <c r="K8" s="13"/>
      <c r="L8" s="14"/>
    </row>
    <row r="9" spans="1:12" ht="13.5" customHeight="1">
      <c r="A9" s="1" t="s">
        <v>118</v>
      </c>
      <c r="B9" s="2"/>
      <c r="C9" s="2"/>
      <c r="D9" s="3"/>
      <c r="E9" s="16" t="s">
        <v>13</v>
      </c>
      <c r="F9" s="215">
        <v>0.5</v>
      </c>
      <c r="G9" s="12"/>
      <c r="H9" s="13"/>
      <c r="I9" s="13"/>
      <c r="J9" s="13"/>
      <c r="K9" s="13"/>
      <c r="L9" s="14"/>
    </row>
    <row r="10" spans="1:12" ht="13.5" customHeight="1">
      <c r="A10" s="1" t="s">
        <v>12</v>
      </c>
      <c r="B10" s="2"/>
      <c r="C10" s="2"/>
      <c r="D10" s="3"/>
      <c r="E10" s="16" t="s">
        <v>183</v>
      </c>
      <c r="F10" s="215">
        <v>0</v>
      </c>
      <c r="G10" s="12"/>
      <c r="H10" s="13"/>
      <c r="I10" s="13"/>
      <c r="J10" s="13"/>
      <c r="K10" s="13"/>
      <c r="L10" s="14"/>
    </row>
    <row r="11" spans="1:12" ht="13.5" customHeight="1">
      <c r="A11" s="1" t="s">
        <v>14</v>
      </c>
      <c r="B11" s="2"/>
      <c r="C11" s="2"/>
      <c r="D11" s="3"/>
      <c r="E11" s="16" t="s">
        <v>15</v>
      </c>
      <c r="F11" s="215">
        <v>0.8</v>
      </c>
      <c r="G11" s="12"/>
      <c r="H11" s="13"/>
      <c r="I11" s="13"/>
      <c r="J11" s="13"/>
      <c r="K11" s="13"/>
      <c r="L11" s="14"/>
    </row>
    <row r="12" spans="1:12" ht="13.5" customHeight="1">
      <c r="A12" s="1" t="s">
        <v>16</v>
      </c>
      <c r="B12" s="2"/>
      <c r="C12" s="2"/>
      <c r="D12" s="3"/>
      <c r="E12" s="16" t="s">
        <v>17</v>
      </c>
      <c r="F12" s="215">
        <v>0</v>
      </c>
      <c r="G12" s="12"/>
      <c r="H12" s="13"/>
      <c r="I12" s="13"/>
      <c r="J12" s="13"/>
      <c r="K12" s="13"/>
      <c r="L12" s="14"/>
    </row>
    <row r="13" spans="1:12" ht="13.5" customHeight="1">
      <c r="A13" s="1" t="s">
        <v>181</v>
      </c>
      <c r="B13" s="2"/>
      <c r="C13" s="2"/>
      <c r="D13" s="3"/>
      <c r="E13" s="17" t="s">
        <v>377</v>
      </c>
      <c r="F13" s="153">
        <f>F6+F7+F8</f>
        <v>1</v>
      </c>
      <c r="G13" s="12"/>
      <c r="H13" s="13"/>
      <c r="I13" s="13"/>
      <c r="J13" s="13"/>
      <c r="K13" s="13"/>
      <c r="L13" s="14"/>
    </row>
    <row r="14" spans="1:12" ht="13.5" customHeight="1">
      <c r="A14" s="1" t="s">
        <v>19</v>
      </c>
      <c r="B14" s="2"/>
      <c r="C14" s="2"/>
      <c r="D14" s="3"/>
      <c r="E14" s="17" t="s">
        <v>179</v>
      </c>
      <c r="F14" s="153">
        <f>F5-F16</f>
        <v>2.2</v>
      </c>
      <c r="G14" s="12"/>
      <c r="H14" s="13"/>
      <c r="I14" s="13"/>
      <c r="J14" s="13"/>
      <c r="K14" s="13"/>
      <c r="L14" s="14"/>
    </row>
    <row r="15" spans="1:12" ht="13.5" customHeight="1">
      <c r="A15" s="12" t="s">
        <v>255</v>
      </c>
      <c r="B15" s="13"/>
      <c r="C15" s="13"/>
      <c r="D15" s="14"/>
      <c r="E15" s="54" t="s">
        <v>182</v>
      </c>
      <c r="F15" s="155">
        <f>DEGREES(ATAN(F8/F14))</f>
        <v>0</v>
      </c>
      <c r="G15" s="12"/>
      <c r="H15" s="13"/>
      <c r="I15" s="13"/>
      <c r="J15" s="13"/>
      <c r="K15" s="13"/>
      <c r="L15" s="14"/>
    </row>
    <row r="16" spans="1:12" ht="13.5" customHeight="1">
      <c r="A16" s="1" t="s">
        <v>256</v>
      </c>
      <c r="B16" s="2"/>
      <c r="C16" s="2"/>
      <c r="D16" s="3"/>
      <c r="E16" s="17" t="s">
        <v>18</v>
      </c>
      <c r="F16" s="153">
        <f>F11+F12</f>
        <v>0.8</v>
      </c>
      <c r="G16" s="12"/>
      <c r="H16" s="13"/>
      <c r="I16" s="13"/>
      <c r="J16" s="13"/>
      <c r="K16" s="13"/>
      <c r="L16" s="14"/>
    </row>
    <row r="17" spans="1:12" ht="13.5" customHeight="1">
      <c r="A17" s="1" t="s">
        <v>412</v>
      </c>
      <c r="B17" s="2"/>
      <c r="C17" s="2"/>
      <c r="D17" s="3"/>
      <c r="E17" s="102" t="s">
        <v>413</v>
      </c>
      <c r="F17" s="154">
        <f>F6+F7+F8+F9+F10</f>
        <v>1.5</v>
      </c>
      <c r="G17" s="12"/>
      <c r="H17" s="13"/>
      <c r="I17" s="13"/>
      <c r="J17" s="13"/>
      <c r="K17" s="13"/>
      <c r="L17" s="14"/>
    </row>
    <row r="18" spans="1:12" ht="13.5" customHeight="1">
      <c r="A18" s="18" t="s">
        <v>257</v>
      </c>
      <c r="B18" s="19"/>
      <c r="C18" s="19"/>
      <c r="D18" s="20"/>
      <c r="E18" s="54" t="s">
        <v>191</v>
      </c>
      <c r="F18" s="155">
        <f>DEGREES(ATAN(F7/F14))</f>
        <v>12.80426606528675</v>
      </c>
      <c r="G18" s="12"/>
      <c r="H18" s="13"/>
      <c r="I18" s="13"/>
      <c r="J18" s="13"/>
      <c r="K18" s="13"/>
      <c r="L18" s="14"/>
    </row>
    <row r="19" spans="1:12" ht="13.5" customHeight="1">
      <c r="A19" s="18" t="s">
        <v>109</v>
      </c>
      <c r="B19" s="19"/>
      <c r="C19" s="19"/>
      <c r="D19" s="19"/>
      <c r="E19" s="49" t="s">
        <v>110</v>
      </c>
      <c r="F19" s="48">
        <f>DEGREES(ATAN(F8/F14))</f>
        <v>0</v>
      </c>
      <c r="G19" s="12"/>
      <c r="H19" s="13"/>
      <c r="I19" s="13"/>
      <c r="J19" s="13"/>
      <c r="K19" s="13"/>
      <c r="L19" s="14"/>
    </row>
    <row r="20" spans="1:12" ht="19.5" customHeight="1">
      <c r="A20" s="129" t="s">
        <v>387</v>
      </c>
      <c r="B20" s="130"/>
      <c r="C20" s="130"/>
      <c r="D20" s="130"/>
      <c r="E20" s="130"/>
      <c r="F20" s="39"/>
      <c r="G20" s="12"/>
      <c r="H20" s="13"/>
      <c r="I20" s="13"/>
      <c r="J20" s="13"/>
      <c r="K20" s="13"/>
      <c r="L20" s="14"/>
    </row>
    <row r="21" spans="1:12" ht="13.5" customHeight="1">
      <c r="A21" s="31" t="s">
        <v>31</v>
      </c>
      <c r="B21" s="32"/>
      <c r="C21" s="32"/>
      <c r="D21" s="32"/>
      <c r="E21" s="4" t="s">
        <v>32</v>
      </c>
      <c r="F21" s="215">
        <v>2</v>
      </c>
      <c r="G21" s="12"/>
      <c r="H21" s="13"/>
      <c r="I21" s="13"/>
      <c r="J21" s="13"/>
      <c r="K21" s="13"/>
      <c r="L21" s="14"/>
    </row>
    <row r="22" spans="1:12" ht="13.5" customHeight="1">
      <c r="A22" s="33" t="s">
        <v>316</v>
      </c>
      <c r="B22" s="34"/>
      <c r="C22" s="34"/>
      <c r="D22" s="34"/>
      <c r="E22" s="4" t="s">
        <v>317</v>
      </c>
      <c r="F22" s="215">
        <v>3</v>
      </c>
      <c r="G22" s="12"/>
      <c r="H22" s="13"/>
      <c r="I22" s="13"/>
      <c r="J22" s="13"/>
      <c r="K22" s="13"/>
      <c r="L22" s="14"/>
    </row>
    <row r="23" spans="1:12" ht="13.5" customHeight="1">
      <c r="A23" s="35" t="s">
        <v>318</v>
      </c>
      <c r="B23" s="36"/>
      <c r="C23" s="36"/>
      <c r="D23" s="36"/>
      <c r="E23" s="5" t="s">
        <v>319</v>
      </c>
      <c r="F23" s="153">
        <f>F21+F22</f>
        <v>5</v>
      </c>
      <c r="G23" s="12"/>
      <c r="H23" s="13"/>
      <c r="I23" s="13"/>
      <c r="J23" s="13"/>
      <c r="K23" s="13"/>
      <c r="L23" s="14"/>
    </row>
    <row r="24" spans="1:12" ht="19.5" customHeight="1">
      <c r="A24" s="37" t="s">
        <v>192</v>
      </c>
      <c r="B24" s="55"/>
      <c r="C24" s="55"/>
      <c r="D24" s="55"/>
      <c r="E24" s="55"/>
      <c r="F24" s="55"/>
      <c r="G24" s="12"/>
      <c r="H24" s="13"/>
      <c r="I24" s="13"/>
      <c r="J24" s="13"/>
      <c r="K24" s="13"/>
      <c r="L24" s="14"/>
    </row>
    <row r="25" spans="1:12" ht="13.5" customHeight="1">
      <c r="A25" s="28" t="s">
        <v>296</v>
      </c>
      <c r="B25" s="29"/>
      <c r="C25" s="29"/>
      <c r="D25" s="30"/>
      <c r="E25" s="104" t="s">
        <v>193</v>
      </c>
      <c r="F25" s="216">
        <v>0</v>
      </c>
      <c r="G25" s="12"/>
      <c r="H25" s="13"/>
      <c r="I25" s="13"/>
      <c r="J25" s="13"/>
      <c r="K25" s="13"/>
      <c r="L25" s="14"/>
    </row>
    <row r="26" spans="1:12" ht="13.5" customHeight="1">
      <c r="A26" s="12" t="s">
        <v>297</v>
      </c>
      <c r="B26" s="13"/>
      <c r="C26" s="13"/>
      <c r="D26" s="14"/>
      <c r="E26" s="104" t="s">
        <v>176</v>
      </c>
      <c r="F26" s="216">
        <v>0</v>
      </c>
      <c r="G26" s="12"/>
      <c r="H26" s="13"/>
      <c r="I26" s="13"/>
      <c r="J26" s="13"/>
      <c r="K26" s="13"/>
      <c r="L26" s="14"/>
    </row>
    <row r="27" spans="1:12" ht="13.5" customHeight="1">
      <c r="A27" s="12" t="s">
        <v>30</v>
      </c>
      <c r="B27" s="13"/>
      <c r="C27" s="13"/>
      <c r="D27" s="14"/>
      <c r="E27" s="104" t="s">
        <v>177</v>
      </c>
      <c r="F27" s="216">
        <v>0</v>
      </c>
      <c r="G27" s="12"/>
      <c r="H27" s="13"/>
      <c r="I27" s="13"/>
      <c r="J27" s="13"/>
      <c r="K27" s="13"/>
      <c r="L27" s="14"/>
    </row>
    <row r="28" spans="1:12" ht="13.5" customHeight="1">
      <c r="A28" t="s">
        <v>199</v>
      </c>
      <c r="E28" s="15" t="s">
        <v>202</v>
      </c>
      <c r="F28" s="217">
        <v>0</v>
      </c>
      <c r="G28" s="12"/>
      <c r="H28" s="13"/>
      <c r="I28" s="13"/>
      <c r="J28" s="13"/>
      <c r="K28" s="13"/>
      <c r="L28" s="14"/>
    </row>
    <row r="29" spans="1:12" ht="13.5" customHeight="1">
      <c r="A29" t="s">
        <v>200</v>
      </c>
      <c r="E29" s="15" t="s">
        <v>203</v>
      </c>
      <c r="F29" s="217">
        <v>0</v>
      </c>
      <c r="G29" s="12"/>
      <c r="H29" s="13"/>
      <c r="I29" s="13"/>
      <c r="J29" s="13"/>
      <c r="K29" s="13"/>
      <c r="L29" s="14"/>
    </row>
    <row r="30" spans="1:12" ht="13.5" customHeight="1">
      <c r="A30" t="s">
        <v>201</v>
      </c>
      <c r="E30" s="15" t="s">
        <v>204</v>
      </c>
      <c r="F30" s="217">
        <v>0</v>
      </c>
      <c r="G30" s="12"/>
      <c r="H30" s="13"/>
      <c r="I30" s="13"/>
      <c r="J30" s="13"/>
      <c r="K30" s="13"/>
      <c r="L30" s="14"/>
    </row>
    <row r="31" spans="1:12" ht="13.5" customHeight="1">
      <c r="A31" s="6" t="s">
        <v>300</v>
      </c>
      <c r="B31" s="36"/>
      <c r="C31" s="36"/>
      <c r="D31" s="162"/>
      <c r="E31" s="16" t="s">
        <v>244</v>
      </c>
      <c r="F31" s="215">
        <v>8</v>
      </c>
      <c r="G31" s="12"/>
      <c r="H31" s="13"/>
      <c r="I31" s="13"/>
      <c r="J31" s="13"/>
      <c r="K31" s="13"/>
      <c r="L31" s="14"/>
    </row>
    <row r="32" spans="1:12" ht="13.5" customHeight="1">
      <c r="A32" s="156" t="s">
        <v>184</v>
      </c>
      <c r="B32" s="93"/>
      <c r="C32" s="93"/>
      <c r="D32" s="262" t="str">
        <f>IF(AND(G263&gt;G256,G286&gt;G279,G323&lt;=G324,F303&lt;=F304,G373&gt;G366,G392&lt;=G393,F399&lt;=F402,D451&lt;H451,D453&lt;H453,D524&lt;H524,D526&lt;H526),"ANTOXH TOIXOY KAΛH","***  AΛΛAΓH ΔIATOMHΣ  *** ")</f>
        <v>ANTOXH TOIXOY KAΛH</v>
      </c>
      <c r="E32" s="262"/>
      <c r="F32" s="262"/>
      <c r="G32" s="18"/>
      <c r="H32" s="19"/>
      <c r="I32" s="19"/>
      <c r="J32" s="19"/>
      <c r="K32" s="19"/>
      <c r="L32" s="20"/>
    </row>
    <row r="38" spans="11:12" ht="13.5" customHeight="1">
      <c r="K38" s="28" t="s">
        <v>380</v>
      </c>
      <c r="L38" s="30"/>
    </row>
    <row r="39" spans="11:12" ht="13.5" customHeight="1">
      <c r="K39" s="263" t="s">
        <v>379</v>
      </c>
      <c r="L39" s="264"/>
    </row>
    <row r="40" spans="11:12" ht="13.5" customHeight="1">
      <c r="K40" s="204" t="s">
        <v>373</v>
      </c>
      <c r="L40" s="201">
        <f aca="true" t="shared" si="0" ref="L40:L46">F65</f>
        <v>1.8</v>
      </c>
    </row>
    <row r="41" spans="11:12" ht="13.5" customHeight="1">
      <c r="K41" s="197" t="s">
        <v>250</v>
      </c>
      <c r="L41" s="198">
        <f t="shared" si="0"/>
        <v>18</v>
      </c>
    </row>
    <row r="42" spans="11:12" ht="13.5" customHeight="1">
      <c r="K42" s="197" t="s">
        <v>60</v>
      </c>
      <c r="L42" s="198">
        <f t="shared" si="0"/>
        <v>23</v>
      </c>
    </row>
    <row r="43" spans="11:12" ht="13.5" customHeight="1">
      <c r="K43" s="143" t="s">
        <v>62</v>
      </c>
      <c r="L43" s="202">
        <f t="shared" si="0"/>
        <v>10</v>
      </c>
    </row>
    <row r="44" spans="11:12" ht="13.5" customHeight="1">
      <c r="K44" s="197" t="s">
        <v>243</v>
      </c>
      <c r="L44" s="198">
        <f t="shared" si="0"/>
        <v>35</v>
      </c>
    </row>
    <row r="45" spans="11:12" ht="13.5" customHeight="1">
      <c r="K45" s="197" t="s">
        <v>323</v>
      </c>
      <c r="L45" s="199">
        <f t="shared" si="0"/>
        <v>0</v>
      </c>
    </row>
    <row r="46" spans="11:12" ht="13.5" customHeight="1">
      <c r="K46" s="77" t="s">
        <v>104</v>
      </c>
      <c r="L46" s="200">
        <f t="shared" si="0"/>
        <v>15</v>
      </c>
    </row>
    <row r="53" spans="2:12" ht="13.5" customHeight="1">
      <c r="B53" s="76" t="s">
        <v>378</v>
      </c>
      <c r="C53" s="56"/>
      <c r="K53" s="28" t="s">
        <v>380</v>
      </c>
      <c r="L53" s="30"/>
    </row>
    <row r="54" spans="2:12" ht="13.5" customHeight="1">
      <c r="B54" s="204" t="s">
        <v>206</v>
      </c>
      <c r="C54" s="201">
        <f aca="true" t="shared" si="1" ref="C54:C59">L65</f>
        <v>0.8</v>
      </c>
      <c r="K54" s="263" t="s">
        <v>381</v>
      </c>
      <c r="L54" s="264"/>
    </row>
    <row r="55" spans="2:12" ht="13.5" customHeight="1">
      <c r="B55" s="197" t="s">
        <v>250</v>
      </c>
      <c r="C55" s="198">
        <f t="shared" si="1"/>
        <v>18</v>
      </c>
      <c r="K55" s="142" t="str">
        <f>IF(F72=0,"","hs2=")</f>
        <v>hs2=</v>
      </c>
      <c r="L55" s="201">
        <f>IF(F72=0,"",F5-F65)</f>
        <v>1.2</v>
      </c>
    </row>
    <row r="56" spans="2:12" ht="13.5" customHeight="1">
      <c r="B56" s="197" t="s">
        <v>60</v>
      </c>
      <c r="C56" s="198">
        <f t="shared" si="1"/>
        <v>23</v>
      </c>
      <c r="K56" s="197" t="str">
        <f>IF(F72=0,"","γ =")</f>
        <v>γ =</v>
      </c>
      <c r="L56" s="198">
        <f>IF(F72=0,"",F73)</f>
        <v>16</v>
      </c>
    </row>
    <row r="57" spans="2:12" ht="13.5" customHeight="1">
      <c r="B57" s="197" t="s">
        <v>243</v>
      </c>
      <c r="C57" s="198">
        <f t="shared" si="1"/>
        <v>30</v>
      </c>
      <c r="K57" s="197" t="str">
        <f>IF(F72=0,"","γκ =")</f>
        <v>γκ =</v>
      </c>
      <c r="L57" s="198">
        <f>IF(F72=0,"",F74)</f>
        <v>20</v>
      </c>
    </row>
    <row r="58" spans="2:12" ht="13.5" customHeight="1">
      <c r="B58" s="197" t="s">
        <v>323</v>
      </c>
      <c r="C58" s="199">
        <f t="shared" si="1"/>
        <v>0</v>
      </c>
      <c r="K58" s="197" t="str">
        <f>IF(F72=0,"","φ =")</f>
        <v>φ =</v>
      </c>
      <c r="L58" s="198">
        <f>IF(F72=0,"",F75)</f>
        <v>35</v>
      </c>
    </row>
    <row r="59" spans="2:12" ht="13.5" customHeight="1">
      <c r="B59" s="197" t="s">
        <v>182</v>
      </c>
      <c r="C59" s="199">
        <f t="shared" si="1"/>
        <v>0</v>
      </c>
      <c r="K59" s="197" t="str">
        <f>IF(F72=0,"","c =")</f>
        <v>c =</v>
      </c>
      <c r="L59" s="199">
        <f>IF(F72=0,"",F76)</f>
        <v>0</v>
      </c>
    </row>
    <row r="60" spans="2:12" ht="13.5" customHeight="1">
      <c r="B60" s="77" t="s">
        <v>104</v>
      </c>
      <c r="C60" s="200">
        <v>0</v>
      </c>
      <c r="K60" s="77" t="str">
        <f>IF(F72=0,"","δ =")</f>
        <v>δ =</v>
      </c>
      <c r="L60" s="200">
        <f>IF(F72=0,"",F77)</f>
        <v>17.5</v>
      </c>
    </row>
    <row r="63" spans="1:12" ht="39.75" customHeight="1">
      <c r="A63" s="251" t="s">
        <v>20</v>
      </c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</row>
    <row r="64" spans="1:12" ht="19.5" customHeight="1">
      <c r="A64" s="37" t="s">
        <v>385</v>
      </c>
      <c r="B64" s="39"/>
      <c r="C64" s="39"/>
      <c r="D64" s="39"/>
      <c r="E64" s="39"/>
      <c r="F64" s="40"/>
      <c r="G64" s="37" t="s">
        <v>25</v>
      </c>
      <c r="H64" s="38"/>
      <c r="I64" s="39"/>
      <c r="J64" s="39"/>
      <c r="K64" s="39"/>
      <c r="L64" s="40"/>
    </row>
    <row r="65" spans="1:12" ht="19.5" customHeight="1">
      <c r="A65" s="203" t="s">
        <v>374</v>
      </c>
      <c r="B65" s="159"/>
      <c r="C65" s="159"/>
      <c r="D65" s="160"/>
      <c r="E65" s="15" t="s">
        <v>373</v>
      </c>
      <c r="F65" s="218">
        <v>1.8</v>
      </c>
      <c r="G65" s="158" t="s">
        <v>386</v>
      </c>
      <c r="H65" s="159"/>
      <c r="I65" s="159"/>
      <c r="J65" s="160"/>
      <c r="K65" s="4" t="s">
        <v>206</v>
      </c>
      <c r="L65" s="219">
        <v>0.8</v>
      </c>
    </row>
    <row r="66" spans="1:12" ht="13.5" customHeight="1">
      <c r="A66" s="9" t="s">
        <v>249</v>
      </c>
      <c r="B66" s="32"/>
      <c r="C66" s="32"/>
      <c r="D66" s="161"/>
      <c r="E66" s="4" t="s">
        <v>250</v>
      </c>
      <c r="F66" s="219">
        <v>18</v>
      </c>
      <c r="G66" s="21" t="s">
        <v>249</v>
      </c>
      <c r="H66" s="10"/>
      <c r="I66" s="10"/>
      <c r="J66" s="11"/>
      <c r="K66" s="4" t="s">
        <v>250</v>
      </c>
      <c r="L66" s="219">
        <v>18</v>
      </c>
    </row>
    <row r="67" spans="1:12" ht="13.5" customHeight="1">
      <c r="A67" s="1" t="s">
        <v>59</v>
      </c>
      <c r="B67" s="34"/>
      <c r="C67" s="34"/>
      <c r="D67" s="103"/>
      <c r="E67" s="4" t="s">
        <v>60</v>
      </c>
      <c r="F67" s="219">
        <v>23</v>
      </c>
      <c r="G67" s="23" t="s">
        <v>63</v>
      </c>
      <c r="H67" s="2"/>
      <c r="I67" s="2"/>
      <c r="J67" s="3"/>
      <c r="K67" s="4" t="s">
        <v>60</v>
      </c>
      <c r="L67" s="219">
        <v>23</v>
      </c>
    </row>
    <row r="68" spans="1:12" ht="13.5" customHeight="1">
      <c r="A68" t="s">
        <v>61</v>
      </c>
      <c r="E68" s="15" t="s">
        <v>62</v>
      </c>
      <c r="F68" s="217">
        <v>10</v>
      </c>
      <c r="G68" s="23" t="s">
        <v>242</v>
      </c>
      <c r="H68" s="2"/>
      <c r="I68" s="2"/>
      <c r="J68" s="3"/>
      <c r="K68" s="4" t="s">
        <v>243</v>
      </c>
      <c r="L68" s="219">
        <v>30</v>
      </c>
    </row>
    <row r="69" spans="1:12" ht="13.5" customHeight="1">
      <c r="A69" s="1" t="s">
        <v>242</v>
      </c>
      <c r="B69" s="34"/>
      <c r="C69" s="34"/>
      <c r="D69" s="103"/>
      <c r="E69" s="4" t="s">
        <v>243</v>
      </c>
      <c r="F69" s="219">
        <v>35</v>
      </c>
      <c r="G69" s="23" t="s">
        <v>324</v>
      </c>
      <c r="H69" s="2"/>
      <c r="I69" s="2"/>
      <c r="J69" s="3"/>
      <c r="K69" s="4" t="s">
        <v>323</v>
      </c>
      <c r="L69" s="220">
        <v>0</v>
      </c>
    </row>
    <row r="70" spans="1:12" ht="13.5" customHeight="1">
      <c r="A70" s="1" t="s">
        <v>324</v>
      </c>
      <c r="B70" s="34"/>
      <c r="C70" s="34"/>
      <c r="D70" s="103"/>
      <c r="E70" s="4" t="s">
        <v>323</v>
      </c>
      <c r="F70" s="220">
        <v>0</v>
      </c>
      <c r="G70" s="6" t="s">
        <v>205</v>
      </c>
      <c r="H70" s="7"/>
      <c r="I70" s="7"/>
      <c r="J70" s="7"/>
      <c r="K70" s="4" t="s">
        <v>182</v>
      </c>
      <c r="L70" s="59">
        <v>0</v>
      </c>
    </row>
    <row r="71" spans="1:12" ht="13.5" customHeight="1">
      <c r="A71" s="6" t="s">
        <v>103</v>
      </c>
      <c r="B71" s="36"/>
      <c r="C71" s="36"/>
      <c r="D71" s="162"/>
      <c r="E71" s="4" t="s">
        <v>104</v>
      </c>
      <c r="F71" s="220">
        <v>15</v>
      </c>
      <c r="G71" s="6" t="s">
        <v>251</v>
      </c>
      <c r="H71" s="7"/>
      <c r="I71" s="7"/>
      <c r="J71" s="8"/>
      <c r="K71" s="4" t="s">
        <v>104</v>
      </c>
      <c r="L71" s="220">
        <v>0</v>
      </c>
    </row>
    <row r="72" spans="1:11" ht="19.5" customHeight="1">
      <c r="A72" s="158" t="s">
        <v>375</v>
      </c>
      <c r="B72" s="159"/>
      <c r="C72" s="159"/>
      <c r="D72" s="160"/>
      <c r="E72" s="15" t="s">
        <v>376</v>
      </c>
      <c r="F72" s="174">
        <f>F5-F65</f>
        <v>1.2</v>
      </c>
      <c r="G72" s="41" t="s">
        <v>153</v>
      </c>
      <c r="H72" s="39"/>
      <c r="I72" s="39"/>
      <c r="J72" s="39"/>
      <c r="K72" s="7"/>
    </row>
    <row r="73" spans="1:12" ht="13.5" customHeight="1">
      <c r="A73" s="9" t="s">
        <v>249</v>
      </c>
      <c r="B73" s="32"/>
      <c r="C73" s="32"/>
      <c r="D73" s="161"/>
      <c r="E73" s="4" t="s">
        <v>250</v>
      </c>
      <c r="F73" s="219">
        <v>16</v>
      </c>
      <c r="G73" s="43" t="s">
        <v>22</v>
      </c>
      <c r="H73" s="2"/>
      <c r="I73" s="2"/>
      <c r="J73" s="3"/>
      <c r="K73" s="4" t="s">
        <v>21</v>
      </c>
      <c r="L73" s="220">
        <v>0.2</v>
      </c>
    </row>
    <row r="74" spans="1:12" ht="13.5" customHeight="1">
      <c r="A74" s="1" t="s">
        <v>59</v>
      </c>
      <c r="B74" s="34"/>
      <c r="C74" s="34"/>
      <c r="D74" s="103"/>
      <c r="E74" s="4" t="s">
        <v>60</v>
      </c>
      <c r="F74" s="219">
        <v>20</v>
      </c>
      <c r="G74" s="43" t="s">
        <v>335</v>
      </c>
      <c r="H74" s="2"/>
      <c r="I74" s="2"/>
      <c r="J74" s="3"/>
      <c r="K74" s="4" t="s">
        <v>323</v>
      </c>
      <c r="L74" s="220">
        <v>0.01</v>
      </c>
    </row>
    <row r="75" spans="1:12" ht="13.5" customHeight="1">
      <c r="A75" s="1" t="s">
        <v>242</v>
      </c>
      <c r="B75" s="34"/>
      <c r="C75" s="34"/>
      <c r="D75" s="103"/>
      <c r="E75" s="4" t="s">
        <v>243</v>
      </c>
      <c r="F75" s="219">
        <v>35</v>
      </c>
      <c r="G75" s="43" t="s">
        <v>8</v>
      </c>
      <c r="H75" s="2"/>
      <c r="I75" s="2"/>
      <c r="J75" s="3"/>
      <c r="K75" s="4" t="s">
        <v>243</v>
      </c>
      <c r="L75" s="219">
        <v>30</v>
      </c>
    </row>
    <row r="76" spans="1:12" ht="13.5" customHeight="1">
      <c r="A76" s="1" t="s">
        <v>324</v>
      </c>
      <c r="B76" s="34"/>
      <c r="C76" s="34"/>
      <c r="D76" s="103"/>
      <c r="E76" s="4" t="s">
        <v>323</v>
      </c>
      <c r="F76" s="220">
        <v>0</v>
      </c>
      <c r="G76" s="43" t="s">
        <v>189</v>
      </c>
      <c r="H76" s="2"/>
      <c r="I76" s="2"/>
      <c r="J76" s="3"/>
      <c r="K76" s="5" t="s">
        <v>190</v>
      </c>
      <c r="L76" s="59">
        <f>TAN(RADIANS(L75))</f>
        <v>0.5773502691896257</v>
      </c>
    </row>
    <row r="77" spans="1:12" ht="13.5" customHeight="1">
      <c r="A77" s="1" t="s">
        <v>103</v>
      </c>
      <c r="B77" s="34"/>
      <c r="C77" s="34"/>
      <c r="D77" s="103"/>
      <c r="E77" s="4" t="s">
        <v>104</v>
      </c>
      <c r="F77" s="220">
        <v>17.5</v>
      </c>
      <c r="G77" s="1" t="s">
        <v>61</v>
      </c>
      <c r="H77" s="34"/>
      <c r="I77" s="34"/>
      <c r="J77" s="34"/>
      <c r="K77" s="4" t="s">
        <v>62</v>
      </c>
      <c r="L77" s="219">
        <v>10</v>
      </c>
    </row>
    <row r="78" spans="1:12" ht="19.5" customHeight="1">
      <c r="A78" s="41" t="s">
        <v>58</v>
      </c>
      <c r="B78" s="42"/>
      <c r="C78" s="42"/>
      <c r="D78" s="42"/>
      <c r="E78" s="39"/>
      <c r="F78" s="40"/>
      <c r="G78" s="46" t="s">
        <v>334</v>
      </c>
      <c r="H78" s="10"/>
      <c r="I78" s="10"/>
      <c r="J78" s="10"/>
      <c r="K78" s="39"/>
      <c r="L78" s="40"/>
    </row>
    <row r="79" spans="1:12" ht="13.5" customHeight="1">
      <c r="A79" s="23" t="s">
        <v>154</v>
      </c>
      <c r="B79" s="24"/>
      <c r="C79" s="24"/>
      <c r="D79" s="25"/>
      <c r="E79" s="4" t="s">
        <v>26</v>
      </c>
      <c r="F79" s="221">
        <v>0.24</v>
      </c>
      <c r="G79" s="9" t="s">
        <v>23</v>
      </c>
      <c r="H79" s="10"/>
      <c r="I79" s="10"/>
      <c r="J79" s="11"/>
      <c r="K79" s="15" t="s">
        <v>350</v>
      </c>
      <c r="L79" s="219">
        <v>1.35</v>
      </c>
    </row>
    <row r="80" spans="1:12" ht="13.5" customHeight="1">
      <c r="A80" s="23" t="s">
        <v>1</v>
      </c>
      <c r="B80" s="24"/>
      <c r="C80" s="24"/>
      <c r="D80" s="25"/>
      <c r="E80" s="4" t="s">
        <v>2</v>
      </c>
      <c r="F80" s="219">
        <v>1.5</v>
      </c>
      <c r="G80" s="1" t="s">
        <v>24</v>
      </c>
      <c r="H80" s="13"/>
      <c r="I80" s="13"/>
      <c r="J80" s="14"/>
      <c r="K80" s="15" t="s">
        <v>351</v>
      </c>
      <c r="L80" s="219">
        <v>1</v>
      </c>
    </row>
    <row r="81" spans="1:12" ht="13.5" customHeight="1">
      <c r="A81" s="23" t="s">
        <v>28</v>
      </c>
      <c r="B81" s="24"/>
      <c r="C81" s="24"/>
      <c r="D81" s="25"/>
      <c r="E81" s="5" t="s">
        <v>157</v>
      </c>
      <c r="F81" s="59">
        <f>F79/F80</f>
        <v>0.16</v>
      </c>
      <c r="G81" s="1" t="s">
        <v>78</v>
      </c>
      <c r="H81" s="2"/>
      <c r="I81" s="2"/>
      <c r="J81" s="3"/>
      <c r="K81" s="15" t="s">
        <v>353</v>
      </c>
      <c r="L81" s="219">
        <v>1.5</v>
      </c>
    </row>
    <row r="82" spans="1:12" ht="13.5" customHeight="1">
      <c r="A82" s="23" t="s">
        <v>27</v>
      </c>
      <c r="B82" s="24"/>
      <c r="C82" s="24"/>
      <c r="D82" s="25"/>
      <c r="E82" s="5" t="s">
        <v>158</v>
      </c>
      <c r="F82" s="59">
        <f>0.5*F81</f>
        <v>0.08</v>
      </c>
      <c r="G82" s="1" t="s">
        <v>79</v>
      </c>
      <c r="H82" s="13"/>
      <c r="I82" s="13"/>
      <c r="J82" s="14"/>
      <c r="K82" s="15" t="s">
        <v>352</v>
      </c>
      <c r="L82" s="219">
        <v>0</v>
      </c>
    </row>
    <row r="83" spans="1:12" ht="13.5" customHeight="1">
      <c r="A83" s="26" t="s">
        <v>234</v>
      </c>
      <c r="B83" s="115"/>
      <c r="C83" s="115"/>
      <c r="D83" s="58"/>
      <c r="E83" s="5" t="s">
        <v>225</v>
      </c>
      <c r="F83" s="59">
        <f>ATAN(F81/(1-F82))*180/PI()</f>
        <v>9.865806943084369</v>
      </c>
      <c r="G83" s="12" t="s">
        <v>80</v>
      </c>
      <c r="H83" s="13"/>
      <c r="I83" s="13"/>
      <c r="J83" s="14"/>
      <c r="K83" s="15" t="s">
        <v>354</v>
      </c>
      <c r="L83" s="217">
        <v>1</v>
      </c>
    </row>
    <row r="84" spans="1:12" ht="13.5" customHeight="1">
      <c r="A84" s="163" t="s">
        <v>336</v>
      </c>
      <c r="B84" s="39"/>
      <c r="C84" s="39"/>
      <c r="D84" s="39"/>
      <c r="E84" s="39"/>
      <c r="F84" s="42"/>
      <c r="G84" s="12" t="s">
        <v>346</v>
      </c>
      <c r="H84" s="13"/>
      <c r="I84" s="13"/>
      <c r="J84" s="14"/>
      <c r="K84" s="15" t="s">
        <v>355</v>
      </c>
      <c r="L84" s="217">
        <v>1</v>
      </c>
    </row>
    <row r="85" spans="1:12" ht="13.5" customHeight="1">
      <c r="A85" s="29" t="s">
        <v>72</v>
      </c>
      <c r="B85" s="29"/>
      <c r="C85" s="29"/>
      <c r="D85" s="29"/>
      <c r="E85" s="15" t="s">
        <v>73</v>
      </c>
      <c r="F85" s="217">
        <v>25</v>
      </c>
      <c r="G85" s="12" t="s">
        <v>347</v>
      </c>
      <c r="H85" s="13"/>
      <c r="I85" s="13"/>
      <c r="J85" s="14"/>
      <c r="K85" s="15" t="s">
        <v>356</v>
      </c>
      <c r="L85" s="217">
        <v>1</v>
      </c>
    </row>
    <row r="86" spans="1:12" ht="13.5" customHeight="1">
      <c r="A86" s="10" t="s">
        <v>252</v>
      </c>
      <c r="B86" s="10"/>
      <c r="C86" s="10"/>
      <c r="D86" s="10"/>
      <c r="E86" s="4" t="s">
        <v>0</v>
      </c>
      <c r="F86" s="219">
        <v>12</v>
      </c>
      <c r="G86" s="12" t="s">
        <v>348</v>
      </c>
      <c r="H86" s="13"/>
      <c r="I86" s="13"/>
      <c r="J86" s="14"/>
      <c r="K86" s="15" t="s">
        <v>357</v>
      </c>
      <c r="L86" s="217">
        <v>1</v>
      </c>
    </row>
    <row r="87" spans="1:12" ht="13.5" customHeight="1">
      <c r="A87" s="6" t="s">
        <v>372</v>
      </c>
      <c r="B87" s="7"/>
      <c r="C87" s="7"/>
      <c r="D87" s="7"/>
      <c r="E87" s="4" t="s">
        <v>224</v>
      </c>
      <c r="F87" s="219">
        <v>0.2</v>
      </c>
      <c r="G87" s="18" t="s">
        <v>349</v>
      </c>
      <c r="H87" s="19"/>
      <c r="I87" s="19"/>
      <c r="J87" s="20"/>
      <c r="K87" s="15" t="s">
        <v>62</v>
      </c>
      <c r="L87" s="217">
        <v>1</v>
      </c>
    </row>
    <row r="89" spans="1:13" ht="19.5" customHeight="1">
      <c r="A89" s="61" t="s">
        <v>337</v>
      </c>
      <c r="B89" s="13"/>
      <c r="C89" s="13"/>
      <c r="D89" s="13"/>
      <c r="E89" s="13"/>
      <c r="F89" s="13"/>
      <c r="G89" s="13"/>
      <c r="H89" s="13"/>
      <c r="M89" s="157"/>
    </row>
    <row r="90" spans="1:13" ht="13.5" customHeight="1">
      <c r="A90" s="28" t="s">
        <v>338</v>
      </c>
      <c r="B90" s="29"/>
      <c r="C90" s="29"/>
      <c r="D90" s="29"/>
      <c r="E90" s="29"/>
      <c r="F90" s="30"/>
      <c r="G90" s="15" t="s">
        <v>339</v>
      </c>
      <c r="H90" s="50">
        <f>F6*F14+0.5*F7*F14+0.5*F8*F14+0.5*F9*F12+F9*F11+(F6+F7)*(F11+F12)+F8*(F11+F12)+0.5*F10*F12+F10*F11</f>
        <v>2.8500000000000005</v>
      </c>
      <c r="M90" s="157"/>
    </row>
    <row r="91" spans="1:13" ht="13.5" customHeight="1">
      <c r="A91" s="12" t="s">
        <v>340</v>
      </c>
      <c r="B91" s="13"/>
      <c r="C91" s="13"/>
      <c r="D91" s="13"/>
      <c r="E91" s="13"/>
      <c r="F91" s="14"/>
      <c r="G91" s="15" t="s">
        <v>71</v>
      </c>
      <c r="H91" s="50">
        <f>H90*F85</f>
        <v>71.25000000000001</v>
      </c>
      <c r="M91" s="157"/>
    </row>
    <row r="92" spans="1:13" ht="13.5" customHeight="1">
      <c r="A92" s="12" t="s">
        <v>70</v>
      </c>
      <c r="B92" s="13"/>
      <c r="C92" s="13"/>
      <c r="D92" s="13"/>
      <c r="E92" s="49" t="s">
        <v>74</v>
      </c>
      <c r="F92" s="48">
        <f>(F6*F14*F6/2+0.5*F7*F14*(F6+F7/3)-0.5*F8*F14*F8/3+0.5*F9*F12*(F6+F7+F9/3)+F9*F11*(F6+F7+F9/2)+(F6+F7)*(F11+F12)*(F6+F7)/2-F8*(F11+F12)*F8/2-0.5*F10*F12*(F8+F10/3)-F10*F11*(F8+F10/2))/H90</f>
        <v>0.5409356725146197</v>
      </c>
      <c r="G92" s="49" t="s">
        <v>75</v>
      </c>
      <c r="H92" s="48">
        <f>(F6*F14*F14/2+0.5*F7*F14*2*F14/3+0.5*F8*F14*2*F14/3+0.5*F9*F12*(F14+2*F12/3)+F9*F11*(F14+F12+F11/2)+(F6+F7)*(F11+F12)*(F14+F16/2)+F8*(F11+F12)*(F14+F16/2)+0.5*F10*F12*(F14+2*F12/3)+F10*F11*(F14+F12+F11/2))/H90</f>
        <v>1.8023391812865495</v>
      </c>
      <c r="M92" s="157"/>
    </row>
    <row r="93" spans="1:8" ht="13.5" customHeight="1">
      <c r="A93" s="18"/>
      <c r="B93" s="19"/>
      <c r="C93" s="19"/>
      <c r="D93" s="19"/>
      <c r="E93" s="49" t="s">
        <v>76</v>
      </c>
      <c r="F93" s="48">
        <f>F6+F7+F9-F92</f>
        <v>0.9590643274853803</v>
      </c>
      <c r="G93" s="49" t="s">
        <v>77</v>
      </c>
      <c r="H93" s="48">
        <f>F5-H92</f>
        <v>1.1976608187134505</v>
      </c>
    </row>
    <row r="94" spans="1:8" ht="19.5" customHeight="1">
      <c r="A94" s="61" t="s">
        <v>409</v>
      </c>
      <c r="B94" s="13"/>
      <c r="C94" s="13"/>
      <c r="D94" s="13"/>
      <c r="E94" s="13"/>
      <c r="F94" s="13"/>
      <c r="G94" s="13"/>
      <c r="H94" s="13"/>
    </row>
    <row r="95" spans="1:8" ht="13.5" customHeight="1">
      <c r="A95" s="28" t="s">
        <v>410</v>
      </c>
      <c r="B95" s="29"/>
      <c r="C95" s="29"/>
      <c r="D95" s="29"/>
      <c r="E95" s="29"/>
      <c r="F95" s="29"/>
      <c r="G95" s="15" t="s">
        <v>400</v>
      </c>
      <c r="H95" s="50">
        <f>(0.5*F10*F12+0.5*F8*F14+F10*F14+0.5*(F8+F10)^2*TAN(RADIANS(F31)))*F66</f>
        <v>0</v>
      </c>
    </row>
    <row r="96" spans="1:8" ht="13.5" customHeight="1">
      <c r="A96" s="12" t="s">
        <v>279</v>
      </c>
      <c r="B96" s="13"/>
      <c r="C96" s="13"/>
      <c r="D96" s="13"/>
      <c r="E96" s="49" t="s">
        <v>74</v>
      </c>
      <c r="F96" s="141">
        <f>IF(H95=0,0,-(0.5*F10*F12*(F8+2*F10/3)+0.5*F8*F14*(2*F8/3)+F10*F14*(F8+F10/2)+0.5*(F8+F10)^2*TAN(RADIANS(F31))*(2*F10/3))/(0.5*F10*F12+0.5*F8*F14+F10*F14+0.5*(F8+F10)^2*TAN(RADIANS(F31))))</f>
        <v>0</v>
      </c>
      <c r="G96" s="49" t="s">
        <v>75</v>
      </c>
      <c r="H96" s="141">
        <f>IF(H95=0,0,(0.5*F10*F12*(F14+F12/3)+0.5*F8*F14*(F14/3)+F10*F14*(F14/2)-0.5*(F8+F10)^2*TAN(RADIANS(F31))*(TAN(RADIANS(F31))/3))/(0.5*F10*F12+0.5*F8*F14+F10*F14+0.5*(F8+F10)^2*TAN(RADIANS(F31))))</f>
        <v>0</v>
      </c>
    </row>
    <row r="97" spans="1:8" ht="13.5" customHeight="1">
      <c r="A97" s="18"/>
      <c r="B97" s="19"/>
      <c r="C97" s="19"/>
      <c r="D97" s="19"/>
      <c r="E97" s="49" t="s">
        <v>76</v>
      </c>
      <c r="F97" s="50">
        <f>F9+F7+F6+ABS(F96)</f>
        <v>1.5</v>
      </c>
      <c r="G97" s="49" t="s">
        <v>77</v>
      </c>
      <c r="H97" s="50">
        <f>F5-H96</f>
        <v>3</v>
      </c>
    </row>
    <row r="98" spans="1:8" ht="19.5" customHeight="1">
      <c r="A98" s="61" t="s">
        <v>401</v>
      </c>
      <c r="B98" s="13"/>
      <c r="C98" s="13"/>
      <c r="D98" s="13"/>
      <c r="E98" s="13"/>
      <c r="F98" s="13"/>
      <c r="G98" s="13"/>
      <c r="H98" s="13"/>
    </row>
    <row r="99" spans="1:8" ht="13.5" customHeight="1">
      <c r="A99" s="28" t="s">
        <v>95</v>
      </c>
      <c r="B99" s="29"/>
      <c r="C99" s="29"/>
      <c r="D99" s="29"/>
      <c r="E99" s="29"/>
      <c r="F99" s="30"/>
      <c r="G99" s="15" t="s">
        <v>65</v>
      </c>
      <c r="H99" s="50">
        <f>H91*F81</f>
        <v>11.400000000000002</v>
      </c>
    </row>
    <row r="100" spans="1:8" ht="13.5" customHeight="1">
      <c r="A100" s="12" t="s">
        <v>96</v>
      </c>
      <c r="B100" s="13"/>
      <c r="C100" s="13"/>
      <c r="D100" s="13"/>
      <c r="E100" s="13"/>
      <c r="F100" s="14"/>
      <c r="G100" s="15" t="s">
        <v>66</v>
      </c>
      <c r="H100" s="50">
        <f>H91*F82</f>
        <v>5.700000000000001</v>
      </c>
    </row>
    <row r="101" spans="1:8" ht="13.5" customHeight="1">
      <c r="A101" s="12" t="s">
        <v>371</v>
      </c>
      <c r="B101" s="13"/>
      <c r="C101" s="13"/>
      <c r="D101" s="13"/>
      <c r="E101" s="13"/>
      <c r="F101" s="14"/>
      <c r="G101" s="15" t="s">
        <v>67</v>
      </c>
      <c r="H101" s="50">
        <f>F25*F81</f>
        <v>0</v>
      </c>
    </row>
    <row r="102" spans="1:8" ht="13.5" customHeight="1">
      <c r="A102" s="12" t="s">
        <v>298</v>
      </c>
      <c r="B102" s="13"/>
      <c r="C102" s="13"/>
      <c r="D102" s="13"/>
      <c r="E102" s="13"/>
      <c r="F102" s="14"/>
      <c r="G102" s="15" t="s">
        <v>68</v>
      </c>
      <c r="H102" s="50">
        <f>F25*F82</f>
        <v>0</v>
      </c>
    </row>
    <row r="103" spans="1:8" ht="13.5" customHeight="1">
      <c r="A103" s="12" t="s">
        <v>299</v>
      </c>
      <c r="B103" s="13"/>
      <c r="C103" s="13"/>
      <c r="D103" s="13"/>
      <c r="E103" s="13"/>
      <c r="F103" s="14"/>
      <c r="G103" s="15" t="s">
        <v>69</v>
      </c>
      <c r="H103" s="50">
        <f>F26*F81</f>
        <v>0</v>
      </c>
    </row>
    <row r="104" spans="1:8" ht="13.5" customHeight="1">
      <c r="A104" s="12" t="s">
        <v>29</v>
      </c>
      <c r="B104" s="13"/>
      <c r="C104" s="13"/>
      <c r="D104" s="13"/>
      <c r="E104" s="13"/>
      <c r="F104" s="14"/>
      <c r="G104" s="15" t="s">
        <v>214</v>
      </c>
      <c r="H104" s="50">
        <f>F26*F82</f>
        <v>0</v>
      </c>
    </row>
    <row r="105" spans="1:8" ht="13.5" customHeight="1">
      <c r="A105" s="12" t="s">
        <v>407</v>
      </c>
      <c r="B105" s="13"/>
      <c r="C105" s="13"/>
      <c r="D105" s="13"/>
      <c r="E105" s="13"/>
      <c r="F105" s="14"/>
      <c r="G105" s="15" t="s">
        <v>215</v>
      </c>
      <c r="H105" s="50">
        <f>H95*F81</f>
        <v>0</v>
      </c>
    </row>
    <row r="106" spans="1:8" ht="13.5" customHeight="1">
      <c r="A106" s="18" t="s">
        <v>408</v>
      </c>
      <c r="B106" s="19"/>
      <c r="C106" s="19"/>
      <c r="D106" s="19"/>
      <c r="E106" s="19"/>
      <c r="F106" s="20"/>
      <c r="G106" s="15" t="s">
        <v>216</v>
      </c>
      <c r="H106" s="50">
        <f>H95*F82</f>
        <v>0</v>
      </c>
    </row>
    <row r="107" spans="1:8" ht="30" customHeight="1">
      <c r="A107" s="52" t="s">
        <v>9</v>
      </c>
      <c r="B107" s="2"/>
      <c r="C107" s="2"/>
      <c r="D107" s="2"/>
      <c r="E107" s="2"/>
      <c r="F107" s="2"/>
      <c r="G107" s="2"/>
      <c r="H107" s="2"/>
    </row>
    <row r="108" spans="1:2" ht="24.75" customHeight="1">
      <c r="A108" s="52" t="s">
        <v>124</v>
      </c>
      <c r="B108" s="2"/>
    </row>
    <row r="109" spans="1:8" ht="13.5" customHeight="1">
      <c r="A109" s="66" t="s">
        <v>97</v>
      </c>
      <c r="B109" s="45" t="s">
        <v>75</v>
      </c>
      <c r="C109" s="168">
        <v>0</v>
      </c>
      <c r="D109" s="66" t="s">
        <v>98</v>
      </c>
      <c r="E109" s="45" t="s">
        <v>75</v>
      </c>
      <c r="F109" s="168">
        <f>F65</f>
        <v>1.8</v>
      </c>
      <c r="G109" s="5" t="s">
        <v>207</v>
      </c>
      <c r="H109" s="59">
        <f>F65</f>
        <v>1.8</v>
      </c>
    </row>
    <row r="110" spans="1:8" ht="13.5" customHeight="1">
      <c r="A110" s="9" t="s">
        <v>249</v>
      </c>
      <c r="B110" s="32"/>
      <c r="C110" s="32"/>
      <c r="D110" s="32"/>
      <c r="E110" s="29"/>
      <c r="F110" s="30"/>
      <c r="G110" s="16" t="s">
        <v>250</v>
      </c>
      <c r="H110" s="170">
        <f>F66</f>
        <v>18</v>
      </c>
    </row>
    <row r="111" spans="1:8" ht="13.5" customHeight="1">
      <c r="A111" s="1" t="s">
        <v>59</v>
      </c>
      <c r="B111" s="34"/>
      <c r="C111" s="34"/>
      <c r="D111" s="34"/>
      <c r="E111" s="13"/>
      <c r="F111" s="14"/>
      <c r="G111" s="16" t="s">
        <v>60</v>
      </c>
      <c r="H111" s="170">
        <f>F67</f>
        <v>23</v>
      </c>
    </row>
    <row r="112" spans="1:8" ht="13.5" customHeight="1">
      <c r="A112" s="1" t="s">
        <v>242</v>
      </c>
      <c r="B112" s="34"/>
      <c r="C112" s="34"/>
      <c r="D112" s="34"/>
      <c r="E112" s="13"/>
      <c r="F112" s="14"/>
      <c r="G112" s="16" t="s">
        <v>243</v>
      </c>
      <c r="H112" s="170">
        <f>F69</f>
        <v>35</v>
      </c>
    </row>
    <row r="113" spans="1:8" ht="13.5" customHeight="1">
      <c r="A113" s="1" t="s">
        <v>324</v>
      </c>
      <c r="B113" s="34"/>
      <c r="C113" s="34"/>
      <c r="D113" s="34"/>
      <c r="E113" s="13"/>
      <c r="F113" s="14"/>
      <c r="G113" s="16" t="s">
        <v>323</v>
      </c>
      <c r="H113" s="59">
        <f>F70</f>
        <v>0</v>
      </c>
    </row>
    <row r="114" spans="1:8" ht="13.5" customHeight="1">
      <c r="A114" s="6" t="s">
        <v>103</v>
      </c>
      <c r="B114" s="36"/>
      <c r="C114" s="36"/>
      <c r="D114" s="36"/>
      <c r="E114" s="19"/>
      <c r="F114" s="20"/>
      <c r="G114" s="16" t="s">
        <v>104</v>
      </c>
      <c r="H114" s="59">
        <f>F71</f>
        <v>15</v>
      </c>
    </row>
    <row r="115" spans="1:8" ht="19.5" customHeight="1">
      <c r="A115" s="169" t="s">
        <v>390</v>
      </c>
      <c r="B115" s="166"/>
      <c r="C115" s="167"/>
      <c r="D115" s="165"/>
      <c r="E115" s="166"/>
      <c r="F115" s="167"/>
      <c r="G115" s="166"/>
      <c r="H115" s="167"/>
    </row>
    <row r="116" spans="1:8" ht="13.5" customHeight="1">
      <c r="A116" s="31" t="s">
        <v>31</v>
      </c>
      <c r="B116" s="32"/>
      <c r="C116" s="32"/>
      <c r="D116" s="32"/>
      <c r="E116" s="29"/>
      <c r="F116" s="30"/>
      <c r="G116" s="4" t="s">
        <v>32</v>
      </c>
      <c r="H116" s="170">
        <f>F21</f>
        <v>2</v>
      </c>
    </row>
    <row r="117" spans="1:8" ht="13.5" customHeight="1">
      <c r="A117" s="35" t="s">
        <v>316</v>
      </c>
      <c r="B117" s="36"/>
      <c r="C117" s="36"/>
      <c r="D117" s="36"/>
      <c r="E117" s="19"/>
      <c r="F117" s="20"/>
      <c r="G117" s="4" t="s">
        <v>317</v>
      </c>
      <c r="H117" s="170">
        <f>F22</f>
        <v>3</v>
      </c>
    </row>
    <row r="118" spans="1:8" ht="19.5" customHeight="1">
      <c r="A118" s="169" t="s">
        <v>10</v>
      </c>
      <c r="B118" s="166"/>
      <c r="C118" s="167"/>
      <c r="D118" s="165"/>
      <c r="E118" s="166"/>
      <c r="F118" s="167"/>
      <c r="G118" s="166"/>
      <c r="H118" s="167"/>
    </row>
    <row r="119" spans="1:8" ht="13.5" customHeight="1">
      <c r="A119" s="9" t="s">
        <v>230</v>
      </c>
      <c r="B119" s="10"/>
      <c r="C119" s="10"/>
      <c r="D119" s="10"/>
      <c r="E119" s="10"/>
      <c r="F119" s="11"/>
      <c r="G119" s="4" t="s">
        <v>231</v>
      </c>
      <c r="H119" s="60">
        <f>45+F69/2</f>
        <v>62.5</v>
      </c>
    </row>
    <row r="120" spans="1:8" ht="13.5" customHeight="1">
      <c r="A120" s="6" t="s">
        <v>232</v>
      </c>
      <c r="B120" s="7"/>
      <c r="C120" s="7"/>
      <c r="D120" s="7"/>
      <c r="E120" s="7"/>
      <c r="F120" s="8"/>
      <c r="G120" s="4" t="s">
        <v>233</v>
      </c>
      <c r="H120" s="139">
        <f>COS(RADIANS(F69-F15))^2/(COS(RADIANS(F15))^2*COS(RADIANS(F15+F71))*(1+SQRT((SIN(RADIANS(F69+F71))*SIN(RADIANS(F69-F31)))/(COS(RADIANS(F15+F71))*COS(RADIANS(F15-F31)))))^2)</f>
        <v>0.270352051166682</v>
      </c>
    </row>
    <row r="121" spans="1:8" ht="13.5" customHeight="1">
      <c r="A121" s="47" t="s">
        <v>188</v>
      </c>
      <c r="B121" s="39"/>
      <c r="C121" s="39"/>
      <c r="D121" s="39"/>
      <c r="E121" s="39"/>
      <c r="F121" s="39"/>
      <c r="G121" s="116"/>
      <c r="H121" s="196"/>
    </row>
    <row r="122" spans="1:8" ht="19.5" customHeight="1">
      <c r="A122" s="62" t="s">
        <v>64</v>
      </c>
      <c r="B122" s="2"/>
      <c r="C122" s="2"/>
      <c r="D122" s="2"/>
      <c r="E122" s="2"/>
      <c r="F122" s="13"/>
      <c r="G122" s="13"/>
      <c r="H122" s="132"/>
    </row>
    <row r="123" spans="1:12" ht="13.5" customHeight="1">
      <c r="A123" s="9" t="s">
        <v>133</v>
      </c>
      <c r="B123" s="32"/>
      <c r="C123" s="32"/>
      <c r="D123" s="32"/>
      <c r="E123" s="10"/>
      <c r="F123" s="11"/>
      <c r="G123" s="16" t="s">
        <v>285</v>
      </c>
      <c r="H123" s="139">
        <f>F21*H120</f>
        <v>0.540704102333364</v>
      </c>
      <c r="I123" s="156" t="s">
        <v>311</v>
      </c>
      <c r="J123" s="93"/>
      <c r="K123" s="93"/>
      <c r="L123" s="94"/>
    </row>
    <row r="124" spans="1:8" ht="13.5" customHeight="1">
      <c r="A124" s="1" t="s">
        <v>187</v>
      </c>
      <c r="B124" s="2"/>
      <c r="C124" s="2"/>
      <c r="D124" s="2"/>
      <c r="E124" s="2"/>
      <c r="F124" s="3"/>
      <c r="G124" s="16" t="s">
        <v>287</v>
      </c>
      <c r="H124" s="139">
        <f>H123+F66*H120*(F65+F10*TAN(RADIANS(F31)))</f>
        <v>9.300110560133861</v>
      </c>
    </row>
    <row r="125" spans="1:8" ht="13.5" customHeight="1">
      <c r="A125" s="1" t="s">
        <v>288</v>
      </c>
      <c r="B125" s="2"/>
      <c r="C125" s="2"/>
      <c r="D125" s="2"/>
      <c r="E125" s="2"/>
      <c r="F125" s="3"/>
      <c r="G125" s="16" t="s">
        <v>289</v>
      </c>
      <c r="H125" s="139">
        <f>0.5*(H123+H124)*(F65+F10*TAN(RADIANS(F31)))</f>
        <v>8.856733196220503</v>
      </c>
    </row>
    <row r="126" spans="1:8" ht="13.5" customHeight="1">
      <c r="A126" s="1" t="s">
        <v>100</v>
      </c>
      <c r="B126" s="2"/>
      <c r="C126" s="2"/>
      <c r="D126" s="2"/>
      <c r="E126" s="2"/>
      <c r="F126" s="3"/>
      <c r="G126" s="16" t="s">
        <v>155</v>
      </c>
      <c r="H126" s="60">
        <f>F15+F71</f>
        <v>15</v>
      </c>
    </row>
    <row r="127" spans="1:8" ht="13.5" customHeight="1">
      <c r="A127" s="1" t="s">
        <v>101</v>
      </c>
      <c r="B127" s="2"/>
      <c r="C127" s="2"/>
      <c r="D127" s="2"/>
      <c r="E127" s="2"/>
      <c r="F127" s="3"/>
      <c r="G127" s="16" t="s">
        <v>102</v>
      </c>
      <c r="H127" s="139">
        <f>H125*COS(RADIANS(H126))</f>
        <v>8.554947330781111</v>
      </c>
    </row>
    <row r="128" spans="1:8" ht="13.5" customHeight="1">
      <c r="A128" s="1" t="s">
        <v>363</v>
      </c>
      <c r="B128" s="2"/>
      <c r="C128" s="2"/>
      <c r="D128" s="2"/>
      <c r="E128" s="2"/>
      <c r="F128" s="3"/>
      <c r="G128" s="16" t="s">
        <v>364</v>
      </c>
      <c r="H128" s="139">
        <f>H125*SIN(RADIANS(H126))</f>
        <v>2.2922912285735872</v>
      </c>
    </row>
    <row r="129" spans="1:8" ht="13.5" customHeight="1">
      <c r="A129" s="1" t="s">
        <v>291</v>
      </c>
      <c r="B129" s="2"/>
      <c r="C129" s="2"/>
      <c r="D129" s="2"/>
      <c r="E129" s="13"/>
      <c r="F129" s="14"/>
      <c r="G129" s="22" t="s">
        <v>292</v>
      </c>
      <c r="H129" s="168">
        <f>-H127*H130</f>
        <v>-9.983905566252243</v>
      </c>
    </row>
    <row r="130" spans="1:8" ht="13.5" customHeight="1">
      <c r="A130" s="1" t="s">
        <v>290</v>
      </c>
      <c r="B130" s="2"/>
      <c r="C130" s="2"/>
      <c r="D130" s="2"/>
      <c r="E130" s="5" t="s">
        <v>74</v>
      </c>
      <c r="F130" s="59">
        <f>-H130*TAN(RADIANS(F15))</f>
        <v>0</v>
      </c>
      <c r="G130" s="5" t="s">
        <v>75</v>
      </c>
      <c r="H130" s="59">
        <f>((F21*H120*F65)*F65/2+(F66*F65*H120*F65/2)*2*F65/3)/((F21*H120*F65)+(F66*F65*H120*F65/2))</f>
        <v>1.167032967032967</v>
      </c>
    </row>
    <row r="131" spans="1:8" ht="13.5" customHeight="1">
      <c r="A131" s="18"/>
      <c r="B131" s="7"/>
      <c r="C131" s="7"/>
      <c r="D131" s="7"/>
      <c r="E131" s="5" t="s">
        <v>301</v>
      </c>
      <c r="F131" s="59">
        <f>F9+F7+F6+ABS(F130)</f>
        <v>1.5</v>
      </c>
      <c r="G131" s="5" t="s">
        <v>302</v>
      </c>
      <c r="H131" s="59">
        <f>F5-H130</f>
        <v>1.832967032967033</v>
      </c>
    </row>
    <row r="132" spans="1:8" ht="24.75" customHeight="1">
      <c r="A132" s="62" t="s">
        <v>293</v>
      </c>
      <c r="B132" s="2"/>
      <c r="C132" s="2"/>
      <c r="D132" s="2"/>
      <c r="E132" s="2"/>
      <c r="H132" s="171"/>
    </row>
    <row r="133" spans="1:12" ht="13.5" customHeight="1">
      <c r="A133" s="9" t="s">
        <v>402</v>
      </c>
      <c r="B133" s="32"/>
      <c r="C133" s="32"/>
      <c r="D133" s="32"/>
      <c r="E133" s="10"/>
      <c r="F133" s="11"/>
      <c r="G133" s="16" t="s">
        <v>285</v>
      </c>
      <c r="H133" s="139">
        <f>F22*H120</f>
        <v>0.811056153500046</v>
      </c>
      <c r="I133" s="156" t="s">
        <v>314</v>
      </c>
      <c r="J133" s="93"/>
      <c r="K133" s="93"/>
      <c r="L133" s="94"/>
    </row>
    <row r="134" spans="1:8" ht="13.5" customHeight="1">
      <c r="A134" s="1" t="s">
        <v>286</v>
      </c>
      <c r="B134" s="2"/>
      <c r="C134" s="2"/>
      <c r="D134" s="2"/>
      <c r="E134" s="2"/>
      <c r="F134" s="3"/>
      <c r="G134" s="16" t="s">
        <v>287</v>
      </c>
      <c r="H134" s="139">
        <f>F22*H120</f>
        <v>0.811056153500046</v>
      </c>
    </row>
    <row r="135" spans="1:8" ht="13.5" customHeight="1">
      <c r="A135" s="1" t="s">
        <v>288</v>
      </c>
      <c r="B135" s="2"/>
      <c r="C135" s="2"/>
      <c r="D135" s="2"/>
      <c r="E135" s="2"/>
      <c r="F135" s="3"/>
      <c r="G135" s="16" t="s">
        <v>289</v>
      </c>
      <c r="H135" s="139">
        <f>H133*(F65+(F8+F10)*TAN(RADIANS(F31)))</f>
        <v>1.4599010763000828</v>
      </c>
    </row>
    <row r="136" spans="1:8" ht="13.5" customHeight="1">
      <c r="A136" s="1" t="s">
        <v>100</v>
      </c>
      <c r="B136" s="2"/>
      <c r="C136" s="2"/>
      <c r="D136" s="2"/>
      <c r="E136" s="2"/>
      <c r="F136" s="3"/>
      <c r="G136" s="16" t="s">
        <v>155</v>
      </c>
      <c r="H136" s="60">
        <f>F15+F71</f>
        <v>15</v>
      </c>
    </row>
    <row r="137" spans="1:8" ht="13.5" customHeight="1">
      <c r="A137" s="1" t="s">
        <v>101</v>
      </c>
      <c r="B137" s="2"/>
      <c r="C137" s="2"/>
      <c r="D137" s="2"/>
      <c r="E137" s="2"/>
      <c r="F137" s="3"/>
      <c r="G137" s="16" t="s">
        <v>102</v>
      </c>
      <c r="H137" s="139">
        <f>H135*COS(RADIANS(H136))</f>
        <v>1.4101561534254576</v>
      </c>
    </row>
    <row r="138" spans="1:8" ht="13.5" customHeight="1">
      <c r="A138" s="1" t="s">
        <v>363</v>
      </c>
      <c r="B138" s="2"/>
      <c r="C138" s="2"/>
      <c r="D138" s="2"/>
      <c r="E138" s="2"/>
      <c r="F138" s="3"/>
      <c r="G138" s="16" t="s">
        <v>364</v>
      </c>
      <c r="H138" s="139">
        <f>H135*SIN(RADIANS(H136))</f>
        <v>0.3778502025121297</v>
      </c>
    </row>
    <row r="139" spans="1:8" ht="13.5" customHeight="1">
      <c r="A139" s="1" t="s">
        <v>291</v>
      </c>
      <c r="B139" s="2"/>
      <c r="C139" s="2"/>
      <c r="D139" s="2"/>
      <c r="E139" s="13"/>
      <c r="F139" s="14"/>
      <c r="G139" s="22" t="s">
        <v>292</v>
      </c>
      <c r="H139" s="139">
        <f>-H137*H140</f>
        <v>-1.269140538082912</v>
      </c>
    </row>
    <row r="140" spans="1:8" ht="13.5" customHeight="1">
      <c r="A140" s="1" t="s">
        <v>290</v>
      </c>
      <c r="B140" s="2"/>
      <c r="C140" s="2"/>
      <c r="D140" s="2"/>
      <c r="E140" s="5" t="s">
        <v>74</v>
      </c>
      <c r="F140" s="59">
        <f>-H140*TAN(RADIANS(F15))</f>
        <v>0</v>
      </c>
      <c r="G140" s="5" t="s">
        <v>75</v>
      </c>
      <c r="H140" s="59">
        <f>F65/2</f>
        <v>0.9</v>
      </c>
    </row>
    <row r="141" spans="1:8" ht="13.5" customHeight="1">
      <c r="A141" s="18"/>
      <c r="B141" s="7"/>
      <c r="C141" s="7"/>
      <c r="D141" s="7"/>
      <c r="E141" s="5" t="s">
        <v>76</v>
      </c>
      <c r="F141" s="59">
        <f>F9+F7+F6+ABS(F140)</f>
        <v>1.5</v>
      </c>
      <c r="G141" s="5" t="s">
        <v>77</v>
      </c>
      <c r="H141" s="59">
        <f>F5-H140</f>
        <v>2.1</v>
      </c>
    </row>
    <row r="142" spans="1:8" ht="19.5" customHeight="1">
      <c r="A142" s="53" t="s">
        <v>119</v>
      </c>
      <c r="B142" s="2"/>
      <c r="C142" s="2"/>
      <c r="D142" s="2"/>
      <c r="E142" s="2"/>
      <c r="F142" s="3"/>
      <c r="G142" s="16"/>
      <c r="H142" s="139"/>
    </row>
    <row r="143" spans="1:8" ht="13.5" customHeight="1">
      <c r="A143" s="47" t="s">
        <v>120</v>
      </c>
      <c r="B143" s="39"/>
      <c r="C143" s="39"/>
      <c r="D143" s="40"/>
      <c r="E143" s="5" t="s">
        <v>74</v>
      </c>
      <c r="F143" s="59">
        <f>-(F8+F10)</f>
        <v>0</v>
      </c>
      <c r="G143" s="5" t="s">
        <v>75</v>
      </c>
      <c r="H143" s="59">
        <f>F65</f>
        <v>1.8</v>
      </c>
    </row>
    <row r="144" spans="1:8" ht="19.5" customHeight="1">
      <c r="A144" s="62" t="s">
        <v>94</v>
      </c>
      <c r="B144" s="2"/>
      <c r="C144" s="2"/>
      <c r="D144" s="2"/>
      <c r="E144" s="13"/>
      <c r="F144" s="13"/>
      <c r="G144" s="13"/>
      <c r="H144" s="132"/>
    </row>
    <row r="145" spans="1:12" ht="13.5" customHeight="1">
      <c r="A145" s="9" t="s">
        <v>236</v>
      </c>
      <c r="B145" s="10"/>
      <c r="C145" s="10"/>
      <c r="D145" s="10"/>
      <c r="E145" s="10"/>
      <c r="F145" s="11"/>
      <c r="G145" s="4" t="s">
        <v>237</v>
      </c>
      <c r="H145" s="139">
        <f>H127</f>
        <v>8.554947330781111</v>
      </c>
      <c r="I145" s="156" t="s">
        <v>313</v>
      </c>
      <c r="J145" s="93"/>
      <c r="K145" s="93"/>
      <c r="L145" s="94"/>
    </row>
    <row r="146" spans="1:8" ht="13.5" customHeight="1">
      <c r="A146" s="1" t="s">
        <v>238</v>
      </c>
      <c r="B146" s="2"/>
      <c r="C146" s="2"/>
      <c r="D146" s="2"/>
      <c r="E146" s="2"/>
      <c r="F146" s="3"/>
      <c r="G146" s="4" t="s">
        <v>239</v>
      </c>
      <c r="H146" s="139">
        <f>H128</f>
        <v>2.2922912285735872</v>
      </c>
    </row>
    <row r="147" spans="1:8" ht="13.5" customHeight="1">
      <c r="A147" s="6" t="s">
        <v>240</v>
      </c>
      <c r="B147" s="7"/>
      <c r="C147" s="7"/>
      <c r="D147" s="7"/>
      <c r="E147" s="7"/>
      <c r="F147" s="8"/>
      <c r="G147" s="4" t="s">
        <v>241</v>
      </c>
      <c r="H147" s="139">
        <f>H145*(F65-H130)</f>
        <v>5.414999629153758</v>
      </c>
    </row>
    <row r="148" spans="1:8" ht="19.5" customHeight="1">
      <c r="A148" s="57" t="s">
        <v>55</v>
      </c>
      <c r="B148" s="7"/>
      <c r="C148" s="7"/>
      <c r="D148" s="7"/>
      <c r="E148" s="7"/>
      <c r="F148" s="7"/>
      <c r="G148" s="39"/>
      <c r="H148" s="137"/>
    </row>
    <row r="149" spans="1:8" ht="13.5" customHeight="1">
      <c r="A149" s="9" t="s">
        <v>236</v>
      </c>
      <c r="B149" s="10"/>
      <c r="C149" s="10"/>
      <c r="D149" s="10"/>
      <c r="E149" s="10"/>
      <c r="F149" s="11"/>
      <c r="G149" s="16" t="s">
        <v>237</v>
      </c>
      <c r="H149" s="139">
        <f>H137</f>
        <v>1.4101561534254576</v>
      </c>
    </row>
    <row r="150" spans="1:8" ht="13.5" customHeight="1">
      <c r="A150" s="1" t="s">
        <v>238</v>
      </c>
      <c r="B150" s="2"/>
      <c r="C150" s="2"/>
      <c r="D150" s="2"/>
      <c r="E150" s="2"/>
      <c r="F150" s="3"/>
      <c r="G150" s="16" t="s">
        <v>239</v>
      </c>
      <c r="H150" s="139">
        <f>H138</f>
        <v>0.3778502025121297</v>
      </c>
    </row>
    <row r="151" spans="1:8" ht="13.5" customHeight="1">
      <c r="A151" s="6" t="s">
        <v>416</v>
      </c>
      <c r="B151" s="7"/>
      <c r="C151" s="7"/>
      <c r="D151" s="7"/>
      <c r="E151" s="7"/>
      <c r="F151" s="8"/>
      <c r="G151" s="22" t="s">
        <v>241</v>
      </c>
      <c r="H151" s="168">
        <f>H149*(F65-H140)</f>
        <v>1.269140538082912</v>
      </c>
    </row>
    <row r="152" spans="1:8" ht="19.5" customHeight="1">
      <c r="A152" s="37" t="s">
        <v>382</v>
      </c>
      <c r="B152" s="39"/>
      <c r="C152" s="39"/>
      <c r="D152" s="39"/>
      <c r="E152" s="39"/>
      <c r="F152" s="39"/>
      <c r="G152" s="39"/>
      <c r="H152" s="137"/>
    </row>
    <row r="153" spans="1:8" ht="13.5" customHeight="1">
      <c r="A153" s="9" t="s">
        <v>383</v>
      </c>
      <c r="B153" s="10"/>
      <c r="C153" s="10"/>
      <c r="D153" s="10"/>
      <c r="E153" s="10"/>
      <c r="F153" s="11"/>
      <c r="G153" s="58" t="s">
        <v>417</v>
      </c>
      <c r="H153" s="172">
        <f>COS(RADIANS(F69-F83-F15))^2/(COS(RADIANS(F83))*COS(RADIANS(F15))^2*COS(RADIANS(F71+F15+F83))*(1+SQRT((SIN(RADIANS(F69+F71))*SIN(RADIANS(F69-F83-F31)))/(COS(RADIANS(F15+F83+F71))*COS(RADIANS(F15-F31)))))^2)</f>
        <v>0.40686623239929903</v>
      </c>
    </row>
    <row r="154" spans="1:8" ht="13.5" customHeight="1">
      <c r="A154" s="6" t="s">
        <v>391</v>
      </c>
      <c r="B154" s="7"/>
      <c r="C154" s="7"/>
      <c r="D154" s="7"/>
      <c r="E154" s="7"/>
      <c r="F154" s="8"/>
      <c r="G154" s="22" t="s">
        <v>131</v>
      </c>
      <c r="H154" s="168">
        <f>H153/H120-1</f>
        <v>0.5049496781825822</v>
      </c>
    </row>
    <row r="155" spans="1:8" ht="13.5" customHeight="1">
      <c r="A155" s="57"/>
      <c r="B155" s="7"/>
      <c r="C155" s="7"/>
      <c r="D155" s="7"/>
      <c r="E155" s="7"/>
      <c r="F155" s="7"/>
      <c r="G155" s="39"/>
      <c r="H155" s="137"/>
    </row>
    <row r="156" spans="1:8" ht="13.5" customHeight="1">
      <c r="A156" s="47" t="s">
        <v>384</v>
      </c>
      <c r="B156" s="39"/>
      <c r="C156" s="39"/>
      <c r="D156" s="39"/>
      <c r="E156" s="39"/>
      <c r="F156" s="40"/>
      <c r="G156" s="16" t="s">
        <v>132</v>
      </c>
      <c r="H156" s="173">
        <f>H127*(1+H154)</f>
        <v>12.874765232327974</v>
      </c>
    </row>
    <row r="157" spans="1:8" ht="13.5" customHeight="1">
      <c r="A157" s="47" t="s">
        <v>123</v>
      </c>
      <c r="B157" s="39"/>
      <c r="C157" s="39"/>
      <c r="D157" s="39"/>
      <c r="E157" s="39"/>
      <c r="F157" s="40"/>
      <c r="G157" s="16" t="s">
        <v>132</v>
      </c>
      <c r="H157" s="173">
        <f>H137*(1+H154)</f>
        <v>2.1222140492848305</v>
      </c>
    </row>
    <row r="158" spans="1:8" ht="30" customHeight="1">
      <c r="A158" s="52" t="s">
        <v>389</v>
      </c>
      <c r="B158" s="2"/>
      <c r="H158" s="171"/>
    </row>
    <row r="159" spans="1:8" ht="13.5" customHeight="1">
      <c r="A159" s="66" t="s">
        <v>97</v>
      </c>
      <c r="B159" s="45" t="s">
        <v>75</v>
      </c>
      <c r="C159" s="168">
        <f>F65</f>
        <v>1.8</v>
      </c>
      <c r="D159" s="66" t="s">
        <v>98</v>
      </c>
      <c r="E159" s="45" t="s">
        <v>75</v>
      </c>
      <c r="F159" s="168">
        <f>F5</f>
        <v>3</v>
      </c>
      <c r="G159" s="5" t="s">
        <v>208</v>
      </c>
      <c r="H159" s="59">
        <f>F159-C159</f>
        <v>1.2</v>
      </c>
    </row>
    <row r="160" spans="1:8" ht="13.5" customHeight="1">
      <c r="A160" s="9" t="s">
        <v>249</v>
      </c>
      <c r="B160" s="32"/>
      <c r="C160" s="32"/>
      <c r="D160" s="32"/>
      <c r="E160" s="29"/>
      <c r="F160" s="30"/>
      <c r="G160" s="16" t="s">
        <v>250</v>
      </c>
      <c r="H160" s="170">
        <f>F73</f>
        <v>16</v>
      </c>
    </row>
    <row r="161" spans="1:8" ht="13.5" customHeight="1">
      <c r="A161" s="1" t="s">
        <v>59</v>
      </c>
      <c r="B161" s="34"/>
      <c r="C161" s="34"/>
      <c r="D161" s="34"/>
      <c r="E161" s="13"/>
      <c r="F161" s="14"/>
      <c r="G161" s="16" t="s">
        <v>148</v>
      </c>
      <c r="H161" s="170">
        <f>F74</f>
        <v>20</v>
      </c>
    </row>
    <row r="162" spans="1:8" ht="13.5" customHeight="1">
      <c r="A162" s="1" t="s">
        <v>242</v>
      </c>
      <c r="B162" s="34"/>
      <c r="C162" s="34"/>
      <c r="D162" s="34"/>
      <c r="E162" s="13"/>
      <c r="F162" s="14"/>
      <c r="G162" s="16" t="s">
        <v>243</v>
      </c>
      <c r="H162" s="170">
        <f>F75</f>
        <v>35</v>
      </c>
    </row>
    <row r="163" spans="1:8" ht="13.5" customHeight="1">
      <c r="A163" s="1" t="s">
        <v>324</v>
      </c>
      <c r="B163" s="34"/>
      <c r="C163" s="34"/>
      <c r="D163" s="34"/>
      <c r="E163" s="13"/>
      <c r="F163" s="14"/>
      <c r="G163" s="16" t="s">
        <v>323</v>
      </c>
      <c r="H163" s="59">
        <f>F76</f>
        <v>0</v>
      </c>
    </row>
    <row r="164" spans="1:8" ht="13.5" customHeight="1">
      <c r="A164" s="6" t="s">
        <v>103</v>
      </c>
      <c r="B164" s="36"/>
      <c r="C164" s="36"/>
      <c r="D164" s="36"/>
      <c r="E164" s="19"/>
      <c r="F164" s="20"/>
      <c r="G164" s="16" t="s">
        <v>104</v>
      </c>
      <c r="H164" s="59">
        <f>F77</f>
        <v>17.5</v>
      </c>
    </row>
    <row r="165" spans="1:8" ht="24.75" customHeight="1">
      <c r="A165" s="169" t="s">
        <v>390</v>
      </c>
      <c r="B165" s="166"/>
      <c r="C165" s="167"/>
      <c r="D165" s="165"/>
      <c r="E165" s="166"/>
      <c r="F165" s="167"/>
      <c r="G165" s="166"/>
      <c r="H165" s="167"/>
    </row>
    <row r="166" spans="1:8" ht="13.5" customHeight="1">
      <c r="A166" s="9" t="s">
        <v>31</v>
      </c>
      <c r="B166" s="32"/>
      <c r="C166" s="32"/>
      <c r="D166" s="32"/>
      <c r="E166" s="29"/>
      <c r="F166" s="30"/>
      <c r="G166" s="4" t="s">
        <v>32</v>
      </c>
      <c r="H166" s="170">
        <f>IF(F72=0,0,F66*F65+F21)</f>
        <v>34.4</v>
      </c>
    </row>
    <row r="167" spans="1:8" ht="13.5" customHeight="1">
      <c r="A167" s="6" t="s">
        <v>316</v>
      </c>
      <c r="B167" s="36"/>
      <c r="C167" s="36"/>
      <c r="D167" s="36"/>
      <c r="E167" s="19"/>
      <c r="F167" s="20"/>
      <c r="G167" s="4" t="s">
        <v>317</v>
      </c>
      <c r="H167" s="170">
        <f>IF(F72=0,0,F22)</f>
        <v>3</v>
      </c>
    </row>
    <row r="168" spans="1:8" ht="24.75" customHeight="1">
      <c r="A168" s="169" t="s">
        <v>10</v>
      </c>
      <c r="B168" s="166"/>
      <c r="C168" s="167"/>
      <c r="D168" s="165"/>
      <c r="E168" s="166"/>
      <c r="F168" s="167"/>
      <c r="G168" s="166"/>
      <c r="H168" s="167"/>
    </row>
    <row r="169" spans="1:8" ht="13.5" customHeight="1">
      <c r="A169" s="9" t="s">
        <v>230</v>
      </c>
      <c r="B169" s="10"/>
      <c r="C169" s="10"/>
      <c r="D169" s="10"/>
      <c r="E169" s="10"/>
      <c r="F169" s="11"/>
      <c r="G169" s="4" t="s">
        <v>231</v>
      </c>
      <c r="H169" s="60">
        <f>45+H162/2</f>
        <v>62.5</v>
      </c>
    </row>
    <row r="170" spans="1:8" ht="13.5" customHeight="1">
      <c r="A170" s="6" t="s">
        <v>232</v>
      </c>
      <c r="B170" s="7"/>
      <c r="C170" s="7"/>
      <c r="D170" s="7"/>
      <c r="E170" s="7"/>
      <c r="F170" s="8"/>
      <c r="G170" s="4" t="s">
        <v>233</v>
      </c>
      <c r="H170" s="139">
        <f>COS(RADIANS(F75-F15))^2/(COS(RADIANS(F15))^2*COS(RADIANS(F15+F77))*(1+SQRT((SIN(RADIANS(F75+F77))*SIN(RADIANS(F75+F15)))/(COS(RADIANS(F15+F77))*COS(RADIANS(F15-F31)))))^2)</f>
        <v>0.24514012993969012</v>
      </c>
    </row>
    <row r="171" spans="1:8" ht="13.5" customHeight="1">
      <c r="A171" s="2" t="s">
        <v>188</v>
      </c>
      <c r="B171" s="2"/>
      <c r="C171" s="2"/>
      <c r="D171" s="2"/>
      <c r="E171" s="2"/>
      <c r="F171" s="2"/>
      <c r="G171" s="24"/>
      <c r="H171" s="164"/>
    </row>
    <row r="172" spans="1:8" ht="24.75" customHeight="1">
      <c r="A172" s="62" t="s">
        <v>64</v>
      </c>
      <c r="B172" s="2"/>
      <c r="C172" s="2"/>
      <c r="D172" s="2"/>
      <c r="E172" s="2"/>
      <c r="F172" s="13"/>
      <c r="G172" s="13"/>
      <c r="H172" s="132"/>
    </row>
    <row r="173" spans="1:8" ht="13.5" customHeight="1">
      <c r="A173" s="9" t="s">
        <v>133</v>
      </c>
      <c r="B173" s="32"/>
      <c r="C173" s="32"/>
      <c r="D173" s="32"/>
      <c r="E173" s="10"/>
      <c r="F173" s="11"/>
      <c r="G173" s="16" t="s">
        <v>285</v>
      </c>
      <c r="H173" s="139">
        <f>IF(F72=0,0,H166*H170)</f>
        <v>8.432820469925339</v>
      </c>
    </row>
    <row r="174" spans="1:8" ht="13.5" customHeight="1">
      <c r="A174" s="1" t="s">
        <v>187</v>
      </c>
      <c r="B174" s="2"/>
      <c r="C174" s="2"/>
      <c r="D174" s="2"/>
      <c r="E174" s="2"/>
      <c r="F174" s="3"/>
      <c r="G174" s="16" t="s">
        <v>287</v>
      </c>
      <c r="H174" s="139">
        <f>IF(F72=0,0,H173+H160*H170*(F72+F10*TAN(RADIANS(F31))))</f>
        <v>13.139510964767389</v>
      </c>
    </row>
    <row r="175" spans="1:8" ht="13.5" customHeight="1">
      <c r="A175" s="1" t="s">
        <v>288</v>
      </c>
      <c r="B175" s="2"/>
      <c r="C175" s="2"/>
      <c r="D175" s="2"/>
      <c r="E175" s="2"/>
      <c r="F175" s="3"/>
      <c r="G175" s="16" t="s">
        <v>289</v>
      </c>
      <c r="H175" s="139">
        <f>0.5*(H173+H174)*(F72+F10*TAN(RADIANS(F31)))</f>
        <v>12.943398860815636</v>
      </c>
    </row>
    <row r="176" spans="1:8" ht="13.5" customHeight="1">
      <c r="A176" s="1" t="s">
        <v>100</v>
      </c>
      <c r="B176" s="2"/>
      <c r="C176" s="2"/>
      <c r="D176" s="2"/>
      <c r="E176" s="2"/>
      <c r="F176" s="3"/>
      <c r="G176" s="16" t="s">
        <v>155</v>
      </c>
      <c r="H176" s="60">
        <f>F15+H164</f>
        <v>17.5</v>
      </c>
    </row>
    <row r="177" spans="1:8" ht="13.5" customHeight="1">
      <c r="A177" s="1" t="s">
        <v>101</v>
      </c>
      <c r="B177" s="2"/>
      <c r="C177" s="2"/>
      <c r="D177" s="2"/>
      <c r="E177" s="2"/>
      <c r="F177" s="3"/>
      <c r="G177" s="16" t="s">
        <v>102</v>
      </c>
      <c r="H177" s="139">
        <f>H175*COS(RADIANS(H176))</f>
        <v>12.344338893855163</v>
      </c>
    </row>
    <row r="178" spans="1:8" ht="13.5" customHeight="1">
      <c r="A178" s="1" t="s">
        <v>363</v>
      </c>
      <c r="B178" s="2"/>
      <c r="C178" s="2"/>
      <c r="D178" s="2"/>
      <c r="E178" s="2"/>
      <c r="F178" s="3"/>
      <c r="G178" s="16" t="s">
        <v>364</v>
      </c>
      <c r="H178" s="139">
        <f>H175*SIN(RADIANS(H176))</f>
        <v>3.8921551027442636</v>
      </c>
    </row>
    <row r="179" spans="1:8" ht="13.5" customHeight="1">
      <c r="A179" s="1" t="s">
        <v>291</v>
      </c>
      <c r="B179" s="2"/>
      <c r="C179" s="2"/>
      <c r="D179" s="2"/>
      <c r="E179" s="13"/>
      <c r="F179" s="14"/>
      <c r="G179" s="22" t="s">
        <v>292</v>
      </c>
      <c r="H179" s="168">
        <f>-H177*H180</f>
        <v>-30.165075406075157</v>
      </c>
    </row>
    <row r="180" spans="1:8" ht="13.5" customHeight="1">
      <c r="A180" s="1" t="s">
        <v>290</v>
      </c>
      <c r="B180" s="2"/>
      <c r="C180" s="2"/>
      <c r="D180" s="2"/>
      <c r="E180" s="5" t="s">
        <v>74</v>
      </c>
      <c r="F180" s="59">
        <f>-H140*TAN(RADIANS(F15))</f>
        <v>0</v>
      </c>
      <c r="G180" s="5" t="s">
        <v>75</v>
      </c>
      <c r="H180" s="59">
        <f>IF(H159=0,0,H109+((H166*H170*H159)*H159/2+(0.5*H160*H170*H159*H159)*2*H159/3)/((H166*H170*H159)+(0.5*H160*H170*H159*H159)))</f>
        <v>2.4436363636363634</v>
      </c>
    </row>
    <row r="181" spans="1:8" ht="13.5" customHeight="1">
      <c r="A181" s="18"/>
      <c r="B181" s="7"/>
      <c r="C181" s="7"/>
      <c r="D181" s="7"/>
      <c r="E181" s="5" t="s">
        <v>301</v>
      </c>
      <c r="F181" s="59">
        <f>F9+F7+F6+F8</f>
        <v>1.5</v>
      </c>
      <c r="G181" s="5" t="s">
        <v>302</v>
      </c>
      <c r="H181" s="59">
        <f>F5-H180</f>
        <v>0.5563636363636366</v>
      </c>
    </row>
    <row r="182" spans="1:8" ht="30" customHeight="1">
      <c r="A182" s="62" t="s">
        <v>293</v>
      </c>
      <c r="B182" s="2"/>
      <c r="C182" s="2"/>
      <c r="D182" s="2"/>
      <c r="E182" s="2"/>
      <c r="H182" s="171"/>
    </row>
    <row r="183" spans="1:8" ht="13.5" customHeight="1">
      <c r="A183" s="9" t="s">
        <v>402</v>
      </c>
      <c r="B183" s="32"/>
      <c r="C183" s="32"/>
      <c r="D183" s="32"/>
      <c r="E183" s="10"/>
      <c r="F183" s="11"/>
      <c r="G183" s="16" t="s">
        <v>285</v>
      </c>
      <c r="H183" s="139">
        <f>H167*H170</f>
        <v>0.7354203898190703</v>
      </c>
    </row>
    <row r="184" spans="1:8" ht="13.5" customHeight="1">
      <c r="A184" s="1" t="s">
        <v>286</v>
      </c>
      <c r="B184" s="2"/>
      <c r="C184" s="2"/>
      <c r="D184" s="2"/>
      <c r="E184" s="2"/>
      <c r="F184" s="3"/>
      <c r="G184" s="16" t="s">
        <v>287</v>
      </c>
      <c r="H184" s="139">
        <f>H167*H170</f>
        <v>0.7354203898190703</v>
      </c>
    </row>
    <row r="185" spans="1:8" ht="13.5" customHeight="1">
      <c r="A185" s="1" t="s">
        <v>288</v>
      </c>
      <c r="B185" s="2"/>
      <c r="C185" s="2"/>
      <c r="D185" s="2"/>
      <c r="E185" s="2"/>
      <c r="F185" s="3"/>
      <c r="G185" s="16" t="s">
        <v>289</v>
      </c>
      <c r="H185" s="139">
        <f>(H183+H184)*H159/2</f>
        <v>0.8825044677828844</v>
      </c>
    </row>
    <row r="186" spans="1:8" ht="13.5" customHeight="1">
      <c r="A186" s="1" t="s">
        <v>100</v>
      </c>
      <c r="B186" s="2"/>
      <c r="C186" s="2"/>
      <c r="D186" s="2"/>
      <c r="E186" s="2"/>
      <c r="F186" s="3"/>
      <c r="G186" s="16" t="s">
        <v>155</v>
      </c>
      <c r="H186" s="60">
        <f>H164</f>
        <v>17.5</v>
      </c>
    </row>
    <row r="187" spans="1:8" ht="13.5" customHeight="1">
      <c r="A187" s="1" t="s">
        <v>101</v>
      </c>
      <c r="B187" s="2"/>
      <c r="C187" s="2"/>
      <c r="D187" s="2"/>
      <c r="E187" s="2"/>
      <c r="F187" s="3"/>
      <c r="G187" s="16" t="s">
        <v>102</v>
      </c>
      <c r="H187" s="139">
        <f>H185*COS(RADIANS(H186))</f>
        <v>0.8416594700355794</v>
      </c>
    </row>
    <row r="188" spans="1:8" ht="13.5" customHeight="1">
      <c r="A188" s="1" t="s">
        <v>363</v>
      </c>
      <c r="B188" s="2"/>
      <c r="C188" s="2"/>
      <c r="D188" s="2"/>
      <c r="E188" s="2"/>
      <c r="F188" s="3"/>
      <c r="G188" s="16" t="s">
        <v>364</v>
      </c>
      <c r="H188" s="139">
        <f>H185*SIN(RADIANS(H186))</f>
        <v>0.2653742115507453</v>
      </c>
    </row>
    <row r="189" spans="1:8" ht="13.5" customHeight="1">
      <c r="A189" s="1" t="s">
        <v>291</v>
      </c>
      <c r="B189" s="2"/>
      <c r="C189" s="2"/>
      <c r="D189" s="2"/>
      <c r="E189" s="13"/>
      <c r="F189" s="14"/>
      <c r="G189" s="22" t="s">
        <v>292</v>
      </c>
      <c r="H189" s="139">
        <f>-H187*H190</f>
        <v>-2.0199827280853904</v>
      </c>
    </row>
    <row r="190" spans="1:8" ht="13.5" customHeight="1">
      <c r="A190" s="1" t="s">
        <v>290</v>
      </c>
      <c r="B190" s="2"/>
      <c r="C190" s="2"/>
      <c r="D190" s="2"/>
      <c r="E190" s="5" t="s">
        <v>74</v>
      </c>
      <c r="F190" s="59">
        <f>-H190*TAN(RADIANS(F15))</f>
        <v>0</v>
      </c>
      <c r="G190" s="5" t="s">
        <v>75</v>
      </c>
      <c r="H190" s="59">
        <f>H109+H159/2</f>
        <v>2.4</v>
      </c>
    </row>
    <row r="191" spans="1:8" ht="13.5" customHeight="1">
      <c r="A191" s="18"/>
      <c r="B191" s="7"/>
      <c r="C191" s="7"/>
      <c r="D191" s="7"/>
      <c r="E191" s="5" t="s">
        <v>76</v>
      </c>
      <c r="F191" s="59">
        <f>F9+F7+F6+F8</f>
        <v>1.5</v>
      </c>
      <c r="G191" s="5" t="s">
        <v>77</v>
      </c>
      <c r="H191" s="59">
        <f>F5-H190</f>
        <v>0.6000000000000001</v>
      </c>
    </row>
    <row r="192" spans="1:8" ht="19.5" customHeight="1">
      <c r="A192" s="53" t="s">
        <v>119</v>
      </c>
      <c r="B192" s="2"/>
      <c r="C192" s="2"/>
      <c r="D192" s="2"/>
      <c r="E192" s="2"/>
      <c r="F192" s="3"/>
      <c r="G192" s="16"/>
      <c r="H192" s="139"/>
    </row>
    <row r="193" spans="1:8" ht="13.5" customHeight="1">
      <c r="A193" s="47" t="s">
        <v>120</v>
      </c>
      <c r="B193" s="39"/>
      <c r="C193" s="39"/>
      <c r="D193" s="40"/>
      <c r="E193" s="5" t="s">
        <v>74</v>
      </c>
      <c r="F193" s="59">
        <f>-F60-F62</f>
        <v>0</v>
      </c>
      <c r="G193" s="5" t="s">
        <v>75</v>
      </c>
      <c r="H193" s="59">
        <f>F5</f>
        <v>3</v>
      </c>
    </row>
    <row r="194" spans="1:8" ht="19.5" customHeight="1">
      <c r="A194" s="62" t="s">
        <v>94</v>
      </c>
      <c r="B194" s="2"/>
      <c r="C194" s="2"/>
      <c r="D194" s="2"/>
      <c r="E194" s="13"/>
      <c r="F194" s="13"/>
      <c r="G194" s="13"/>
      <c r="H194" s="132"/>
    </row>
    <row r="195" spans="1:8" ht="13.5" customHeight="1">
      <c r="A195" s="9" t="s">
        <v>236</v>
      </c>
      <c r="B195" s="10"/>
      <c r="C195" s="10"/>
      <c r="D195" s="10"/>
      <c r="E195" s="10"/>
      <c r="F195" s="11"/>
      <c r="G195" s="4" t="s">
        <v>237</v>
      </c>
      <c r="H195" s="139">
        <f>IF(F72=0,0,H127+H177)</f>
        <v>20.899286224636274</v>
      </c>
    </row>
    <row r="196" spans="1:8" ht="13.5" customHeight="1">
      <c r="A196" s="1" t="s">
        <v>238</v>
      </c>
      <c r="B196" s="2"/>
      <c r="C196" s="2"/>
      <c r="D196" s="2"/>
      <c r="E196" s="2"/>
      <c r="F196" s="3"/>
      <c r="G196" s="4" t="s">
        <v>239</v>
      </c>
      <c r="H196" s="139">
        <f>IF(F72=0,0,H128+H178)</f>
        <v>6.184446331317851</v>
      </c>
    </row>
    <row r="197" spans="1:8" ht="13.5" customHeight="1">
      <c r="A197" s="6" t="s">
        <v>240</v>
      </c>
      <c r="B197" s="7"/>
      <c r="C197" s="7"/>
      <c r="D197" s="7"/>
      <c r="E197" s="7"/>
      <c r="F197" s="8"/>
      <c r="G197" s="4" t="s">
        <v>241</v>
      </c>
      <c r="H197" s="139">
        <f>IF(F72=0,0,H127*H131+H177*H181)</f>
        <v>22.54887770158142</v>
      </c>
    </row>
    <row r="198" spans="1:8" ht="19.5" customHeight="1">
      <c r="A198" s="57" t="s">
        <v>55</v>
      </c>
      <c r="B198" s="7"/>
      <c r="C198" s="7"/>
      <c r="D198" s="7"/>
      <c r="E198" s="7"/>
      <c r="F198" s="7"/>
      <c r="G198" s="39"/>
      <c r="H198" s="137"/>
    </row>
    <row r="199" spans="1:8" ht="13.5" customHeight="1">
      <c r="A199" s="9" t="s">
        <v>236</v>
      </c>
      <c r="B199" s="10"/>
      <c r="C199" s="10"/>
      <c r="D199" s="10"/>
      <c r="E199" s="10"/>
      <c r="F199" s="11"/>
      <c r="G199" s="16" t="s">
        <v>237</v>
      </c>
      <c r="H199" s="139">
        <f>IF(F72=0,0,H137+H187)</f>
        <v>2.251815623461037</v>
      </c>
    </row>
    <row r="200" spans="1:8" ht="13.5" customHeight="1">
      <c r="A200" s="1" t="s">
        <v>238</v>
      </c>
      <c r="B200" s="2"/>
      <c r="C200" s="2"/>
      <c r="D200" s="2"/>
      <c r="E200" s="2"/>
      <c r="F200" s="3"/>
      <c r="G200" s="16" t="s">
        <v>239</v>
      </c>
      <c r="H200" s="139">
        <f>IF(F72=0,0,H138+H188)</f>
        <v>0.643224414062875</v>
      </c>
    </row>
    <row r="201" spans="1:8" ht="13.5" customHeight="1">
      <c r="A201" s="6" t="s">
        <v>416</v>
      </c>
      <c r="B201" s="7"/>
      <c r="C201" s="7"/>
      <c r="D201" s="7"/>
      <c r="E201" s="7"/>
      <c r="F201" s="8"/>
      <c r="G201" s="22" t="s">
        <v>241</v>
      </c>
      <c r="H201" s="168">
        <f>IF(F72=0,0,H137*H141+H187*H191)</f>
        <v>3.466323604214809</v>
      </c>
    </row>
    <row r="202" spans="1:8" ht="19.5" customHeight="1">
      <c r="A202" s="37" t="s">
        <v>382</v>
      </c>
      <c r="B202" s="39"/>
      <c r="C202" s="39"/>
      <c r="D202" s="39"/>
      <c r="E202" s="39"/>
      <c r="F202" s="39"/>
      <c r="G202" s="39"/>
      <c r="H202" s="137"/>
    </row>
    <row r="203" spans="1:8" ht="13.5" customHeight="1">
      <c r="A203" s="9" t="s">
        <v>383</v>
      </c>
      <c r="B203" s="10"/>
      <c r="C203" s="10"/>
      <c r="D203" s="10"/>
      <c r="E203" s="10"/>
      <c r="F203" s="11"/>
      <c r="G203" s="58" t="s">
        <v>417</v>
      </c>
      <c r="H203" s="173">
        <f>COS(RADIANS(F75-F83-F15))^2/(COS(RADIANS(F83))*COS(RADIANS(F15))^2*COS(RADIANS(F77+F15+F83))*(1+SQRT((SIN(RADIANS(F75+F77))*SIN(RADIANS(F75-F83)))/(COS(RADIANS(F15+F83+F77))*COS(RADIANS(F15)))))^2)</f>
        <v>0.3587084804353131</v>
      </c>
    </row>
    <row r="204" spans="1:8" ht="13.5" customHeight="1">
      <c r="A204" s="6" t="s">
        <v>391</v>
      </c>
      <c r="B204" s="7"/>
      <c r="C204" s="7"/>
      <c r="D204" s="7"/>
      <c r="E204" s="7"/>
      <c r="F204" s="8"/>
      <c r="G204" s="22" t="s">
        <v>131</v>
      </c>
      <c r="H204" s="168">
        <f>H203/H170-1</f>
        <v>0.4632793109947495</v>
      </c>
    </row>
    <row r="205" spans="1:8" ht="13.5" customHeight="1">
      <c r="A205" s="57"/>
      <c r="B205" s="7"/>
      <c r="C205" s="7"/>
      <c r="D205" s="7"/>
      <c r="E205" s="7"/>
      <c r="F205" s="7"/>
      <c r="G205" s="39"/>
      <c r="H205" s="137"/>
    </row>
    <row r="206" spans="1:8" ht="13.5" customHeight="1">
      <c r="A206" s="47" t="s">
        <v>384</v>
      </c>
      <c r="B206" s="39"/>
      <c r="C206" s="39"/>
      <c r="D206" s="39"/>
      <c r="E206" s="39"/>
      <c r="F206" s="40"/>
      <c r="G206" s="16" t="s">
        <v>132</v>
      </c>
      <c r="H206" s="173">
        <f>H177*(1+H204)</f>
        <v>18.06321571128607</v>
      </c>
    </row>
    <row r="207" spans="1:8" ht="13.5" customHeight="1">
      <c r="A207" s="47" t="s">
        <v>123</v>
      </c>
      <c r="B207" s="39"/>
      <c r="C207" s="39"/>
      <c r="D207" s="39"/>
      <c r="E207" s="39"/>
      <c r="F207" s="40"/>
      <c r="G207" s="16" t="s">
        <v>132</v>
      </c>
      <c r="H207" s="173">
        <f>H187*(1+H204)</f>
        <v>1.2315828894058687</v>
      </c>
    </row>
    <row r="208" ht="25.5" customHeight="1">
      <c r="A208" s="61" t="s">
        <v>99</v>
      </c>
    </row>
    <row r="209" ht="13.5" customHeight="1">
      <c r="A209" s="62" t="s">
        <v>10</v>
      </c>
    </row>
    <row r="210" spans="1:8" ht="13.5" customHeight="1">
      <c r="A210" s="9" t="s">
        <v>418</v>
      </c>
      <c r="B210" s="29"/>
      <c r="C210" s="29"/>
      <c r="D210" s="29"/>
      <c r="E210" s="29"/>
      <c r="F210" s="30"/>
      <c r="G210" s="15" t="s">
        <v>231</v>
      </c>
      <c r="H210" s="50">
        <f>45-L68/2</f>
        <v>30</v>
      </c>
    </row>
    <row r="211" spans="1:8" ht="13.5" customHeight="1">
      <c r="A211" s="6" t="s">
        <v>397</v>
      </c>
      <c r="B211" s="19"/>
      <c r="C211" s="19"/>
      <c r="D211" s="19"/>
      <c r="E211" s="19"/>
      <c r="F211" s="20"/>
      <c r="G211" s="15" t="s">
        <v>398</v>
      </c>
      <c r="H211" s="50">
        <f>COS(RADIANS(L68+L70))^2/(COS(RADIANS(L70))^2*COS(RADIANS(L70-L71))*(1-SQRT(SIN(RADIANS(L68+L71))*SIN(RADIANS(L68+L70))/(COS(RADIANS(L70-L71))*COS(RADIANS(L70-0)))))^2)</f>
        <v>3.0000000000000004</v>
      </c>
    </row>
    <row r="212" ht="13.5" customHeight="1">
      <c r="A212" t="s">
        <v>366</v>
      </c>
    </row>
    <row r="213" spans="1:12" ht="16.5" customHeight="1">
      <c r="A213" s="27" t="s">
        <v>94</v>
      </c>
      <c r="I213" s="156" t="s">
        <v>315</v>
      </c>
      <c r="J213" s="93"/>
      <c r="K213" s="93"/>
      <c r="L213" s="94"/>
    </row>
    <row r="214" spans="1:8" ht="13.5" customHeight="1">
      <c r="A214" s="9" t="s">
        <v>399</v>
      </c>
      <c r="B214" s="29"/>
      <c r="C214" s="29"/>
      <c r="D214" s="29"/>
      <c r="E214" s="29"/>
      <c r="F214" s="30"/>
      <c r="G214" s="16" t="s">
        <v>285</v>
      </c>
      <c r="H214" s="139">
        <v>0</v>
      </c>
    </row>
    <row r="215" spans="1:8" ht="13.5" customHeight="1">
      <c r="A215" s="1" t="s">
        <v>399</v>
      </c>
      <c r="B215" s="13"/>
      <c r="C215" s="13"/>
      <c r="D215" s="13"/>
      <c r="E215" s="13"/>
      <c r="F215" s="14"/>
      <c r="G215" s="16" t="s">
        <v>287</v>
      </c>
      <c r="H215" s="139">
        <f>-(H214+H211*L66*L65)</f>
        <v>-43.20000000000001</v>
      </c>
    </row>
    <row r="216" spans="1:8" ht="13.5" customHeight="1">
      <c r="A216" s="1" t="s">
        <v>135</v>
      </c>
      <c r="B216" s="13"/>
      <c r="C216" s="13"/>
      <c r="D216" s="13"/>
      <c r="E216" s="13"/>
      <c r="F216" s="14"/>
      <c r="G216" s="16" t="s">
        <v>367</v>
      </c>
      <c r="H216" s="139">
        <f>H215*L65/2</f>
        <v>-17.280000000000005</v>
      </c>
    </row>
    <row r="217" spans="1:8" ht="13.5" customHeight="1">
      <c r="A217" s="1" t="s">
        <v>365</v>
      </c>
      <c r="B217" s="13"/>
      <c r="C217" s="13"/>
      <c r="D217" s="13"/>
      <c r="E217" s="13"/>
      <c r="F217" s="14"/>
      <c r="G217" s="16" t="s">
        <v>155</v>
      </c>
      <c r="H217" s="173">
        <v>0</v>
      </c>
    </row>
    <row r="218" spans="1:8" ht="13.5" customHeight="1">
      <c r="A218" s="1" t="s">
        <v>101</v>
      </c>
      <c r="B218" s="13"/>
      <c r="C218" s="13"/>
      <c r="D218" s="13"/>
      <c r="E218" s="13"/>
      <c r="F218" s="14"/>
      <c r="G218" s="16" t="s">
        <v>368</v>
      </c>
      <c r="H218" s="139">
        <f>H216*COS(RADIANS(H217))</f>
        <v>-17.280000000000005</v>
      </c>
    </row>
    <row r="219" spans="1:8" ht="13.5" customHeight="1">
      <c r="A219" s="1" t="s">
        <v>363</v>
      </c>
      <c r="B219" s="13"/>
      <c r="C219" s="13"/>
      <c r="D219" s="13"/>
      <c r="E219" s="13"/>
      <c r="F219" s="14"/>
      <c r="G219" s="16" t="s">
        <v>369</v>
      </c>
      <c r="H219" s="139">
        <f>-H216*SIN(RADIANS(H217))</f>
        <v>0</v>
      </c>
    </row>
    <row r="220" spans="1:8" ht="13.5" customHeight="1">
      <c r="A220" s="1" t="s">
        <v>291</v>
      </c>
      <c r="B220" s="13"/>
      <c r="C220" s="13"/>
      <c r="D220" s="13"/>
      <c r="E220" s="19"/>
      <c r="F220" s="20"/>
      <c r="G220" s="16" t="s">
        <v>292</v>
      </c>
      <c r="H220" s="173">
        <f>ABS(H218)*H221+ABS(H219)*F221</f>
        <v>47.23200000000001</v>
      </c>
    </row>
    <row r="221" spans="1:8" ht="13.5" customHeight="1">
      <c r="A221" s="6" t="s">
        <v>290</v>
      </c>
      <c r="B221" s="19"/>
      <c r="C221" s="19"/>
      <c r="D221" s="19"/>
      <c r="E221" s="5" t="s">
        <v>74</v>
      </c>
      <c r="F221" s="59">
        <f>IF(AND(F9=0,F11=0,F12=0),F6+H221*TAN(RADIANS(F18)),F6+F7+F9)</f>
        <v>1.5</v>
      </c>
      <c r="G221" s="17" t="s">
        <v>75</v>
      </c>
      <c r="H221" s="59">
        <f>F5-L65/3</f>
        <v>2.7333333333333334</v>
      </c>
    </row>
    <row r="222" ht="24.75" customHeight="1">
      <c r="A222" s="64" t="s">
        <v>370</v>
      </c>
    </row>
    <row r="223" spans="1:8" ht="19.5" customHeight="1">
      <c r="A223" s="37" t="s">
        <v>94</v>
      </c>
      <c r="B223" s="55"/>
      <c r="C223" s="55"/>
      <c r="D223" s="56"/>
      <c r="E223" s="5" t="s">
        <v>74</v>
      </c>
      <c r="F223" s="59">
        <f>IF(AND(F9=0,F11=0,F12=0),F6+H221*TAN(RADIANS(F18)),F6+F7+F9)</f>
        <v>1.5</v>
      </c>
      <c r="G223" s="5" t="s">
        <v>75</v>
      </c>
      <c r="H223" s="59">
        <f>F5</f>
        <v>3</v>
      </c>
    </row>
    <row r="224" spans="1:8" ht="13.5" customHeight="1">
      <c r="A224" s="1" t="s">
        <v>236</v>
      </c>
      <c r="B224" s="13"/>
      <c r="C224" s="13"/>
      <c r="D224" s="13"/>
      <c r="E224" s="13"/>
      <c r="F224" s="13"/>
      <c r="G224" s="4" t="s">
        <v>237</v>
      </c>
      <c r="H224" s="139">
        <f>H216</f>
        <v>-17.280000000000005</v>
      </c>
    </row>
    <row r="225" spans="1:8" ht="13.5" customHeight="1">
      <c r="A225" s="1" t="s">
        <v>238</v>
      </c>
      <c r="B225" s="13"/>
      <c r="C225" s="13"/>
      <c r="D225" s="13"/>
      <c r="E225" s="13"/>
      <c r="F225" s="13"/>
      <c r="G225" s="4" t="s">
        <v>239</v>
      </c>
      <c r="H225" s="139">
        <v>0</v>
      </c>
    </row>
    <row r="226" spans="1:8" ht="13.5" customHeight="1">
      <c r="A226" s="6" t="s">
        <v>416</v>
      </c>
      <c r="B226" s="19"/>
      <c r="C226" s="19"/>
      <c r="D226" s="19"/>
      <c r="E226" s="19"/>
      <c r="F226" s="19"/>
      <c r="G226" s="4" t="s">
        <v>241</v>
      </c>
      <c r="H226" s="173">
        <f>H224*(H223-H221)-H225*(F223-F221)</f>
        <v>-4.6080000000000005</v>
      </c>
    </row>
    <row r="227" ht="19.5" customHeight="1">
      <c r="A227" s="61" t="s">
        <v>136</v>
      </c>
    </row>
    <row r="228" ht="16.5" customHeight="1">
      <c r="A228" s="62" t="s">
        <v>173</v>
      </c>
    </row>
    <row r="229" spans="1:11" ht="13.5" customHeight="1">
      <c r="A229" s="9" t="s">
        <v>174</v>
      </c>
      <c r="B229" s="29"/>
      <c r="C229" s="29"/>
      <c r="D229" s="29"/>
      <c r="E229" s="30"/>
      <c r="F229" s="71" t="s">
        <v>175</v>
      </c>
      <c r="G229" s="66" t="s">
        <v>47</v>
      </c>
      <c r="H229" s="66" t="s">
        <v>48</v>
      </c>
      <c r="I229" s="66" t="s">
        <v>49</v>
      </c>
      <c r="J229" s="66" t="s">
        <v>50</v>
      </c>
      <c r="K229" s="66" t="s">
        <v>51</v>
      </c>
    </row>
    <row r="230" spans="1:11" ht="13.5" customHeight="1">
      <c r="A230" s="1"/>
      <c r="B230" s="13"/>
      <c r="C230" s="13"/>
      <c r="D230" s="13"/>
      <c r="E230" s="14"/>
      <c r="F230" s="72"/>
      <c r="G230" s="68"/>
      <c r="H230" s="68" t="s">
        <v>52</v>
      </c>
      <c r="I230" s="68" t="s">
        <v>52</v>
      </c>
      <c r="J230" s="68" t="s">
        <v>53</v>
      </c>
      <c r="K230" s="69" t="s">
        <v>53</v>
      </c>
    </row>
    <row r="231" spans="1:11" ht="13.5" customHeight="1">
      <c r="A231" s="9" t="s">
        <v>320</v>
      </c>
      <c r="B231" s="10"/>
      <c r="C231" s="10"/>
      <c r="D231" s="10" t="s">
        <v>54</v>
      </c>
      <c r="E231" s="11"/>
      <c r="F231" s="92">
        <f>-(F8+F10)*TAN(RADIANS(F31))</f>
        <v>0</v>
      </c>
      <c r="G231" s="50">
        <f>F109</f>
        <v>1.8</v>
      </c>
      <c r="H231" s="50">
        <f>H127</f>
        <v>8.554947330781111</v>
      </c>
      <c r="I231" s="50">
        <f>H128</f>
        <v>2.2922912285735872</v>
      </c>
      <c r="J231" s="50">
        <f>F130</f>
        <v>0</v>
      </c>
      <c r="K231" s="50">
        <f>H130</f>
        <v>1.167032967032967</v>
      </c>
    </row>
    <row r="232" spans="1:11" ht="13.5" customHeight="1">
      <c r="A232" s="1" t="s">
        <v>321</v>
      </c>
      <c r="B232" s="2"/>
      <c r="C232" s="2"/>
      <c r="D232" s="2" t="s">
        <v>388</v>
      </c>
      <c r="E232" s="3"/>
      <c r="F232" s="92">
        <f>-(F8+F10)*TAN(RADIANS(F31))</f>
        <v>0</v>
      </c>
      <c r="G232" s="50">
        <f>F109</f>
        <v>1.8</v>
      </c>
      <c r="H232" s="50">
        <f>H137</f>
        <v>1.4101561534254576</v>
      </c>
      <c r="I232" s="50">
        <f>H138</f>
        <v>0.3778502025121297</v>
      </c>
      <c r="J232" s="50">
        <f>F140</f>
        <v>0</v>
      </c>
      <c r="K232" s="50">
        <f>H140</f>
        <v>0.9</v>
      </c>
    </row>
    <row r="233" spans="1:11" ht="13.5" customHeight="1">
      <c r="A233" s="1" t="s">
        <v>320</v>
      </c>
      <c r="B233" s="2"/>
      <c r="C233" s="2"/>
      <c r="D233" s="2" t="s">
        <v>54</v>
      </c>
      <c r="E233" s="3"/>
      <c r="F233" s="92">
        <f>IF(F65=F5,0,F65)</f>
        <v>1.8</v>
      </c>
      <c r="G233" s="50">
        <f>F5</f>
        <v>3</v>
      </c>
      <c r="H233" s="50">
        <f>H177</f>
        <v>12.344338893855163</v>
      </c>
      <c r="I233" s="50">
        <f>H178</f>
        <v>3.8921551027442636</v>
      </c>
      <c r="J233" s="50">
        <f>F180</f>
        <v>0</v>
      </c>
      <c r="K233" s="50">
        <f>H180</f>
        <v>2.4436363636363634</v>
      </c>
    </row>
    <row r="234" spans="1:11" ht="13.5" customHeight="1">
      <c r="A234" s="1" t="s">
        <v>321</v>
      </c>
      <c r="B234" s="2"/>
      <c r="C234" s="2"/>
      <c r="D234" s="2" t="s">
        <v>388</v>
      </c>
      <c r="E234" s="3"/>
      <c r="F234" s="92">
        <f>IF(F65=F5,0,F65)</f>
        <v>1.8</v>
      </c>
      <c r="G234" s="50">
        <f>F5</f>
        <v>3</v>
      </c>
      <c r="H234" s="50">
        <f>H187</f>
        <v>0.8416594700355794</v>
      </c>
      <c r="I234" s="50">
        <f>H188</f>
        <v>0.2653742115507453</v>
      </c>
      <c r="J234" s="50">
        <f>F190</f>
        <v>0</v>
      </c>
      <c r="K234" s="50">
        <f>H190</f>
        <v>2.4</v>
      </c>
    </row>
    <row r="235" spans="1:11" ht="13.5" customHeight="1">
      <c r="A235" s="1" t="s">
        <v>322</v>
      </c>
      <c r="B235" s="2"/>
      <c r="C235" s="2"/>
      <c r="D235" s="2" t="s">
        <v>197</v>
      </c>
      <c r="E235" s="3"/>
      <c r="F235" s="92">
        <f>F5-L65</f>
        <v>2.2</v>
      </c>
      <c r="G235" s="50">
        <f>F5</f>
        <v>3</v>
      </c>
      <c r="H235" s="50">
        <f>H218</f>
        <v>-17.280000000000005</v>
      </c>
      <c r="I235" s="50">
        <f>H219</f>
        <v>0</v>
      </c>
      <c r="J235" s="50">
        <f>F221</f>
        <v>1.5</v>
      </c>
      <c r="K235" s="50">
        <f>H221</f>
        <v>2.7333333333333334</v>
      </c>
    </row>
    <row r="236" spans="1:11" ht="13.5" customHeight="1">
      <c r="A236" s="1" t="s">
        <v>171</v>
      </c>
      <c r="B236" s="2"/>
      <c r="C236" s="2"/>
      <c r="D236" s="2" t="s">
        <v>198</v>
      </c>
      <c r="E236" s="3"/>
      <c r="F236" s="56"/>
      <c r="G236" s="70"/>
      <c r="H236" s="50">
        <v>0</v>
      </c>
      <c r="I236" s="50">
        <f>H91</f>
        <v>71.25000000000001</v>
      </c>
      <c r="J236" s="50">
        <f>F92</f>
        <v>0.5409356725146197</v>
      </c>
      <c r="K236" s="50">
        <f>H92</f>
        <v>1.8023391812865495</v>
      </c>
    </row>
    <row r="237" spans="1:11" ht="13.5" customHeight="1">
      <c r="A237" s="1" t="s">
        <v>172</v>
      </c>
      <c r="B237" s="2"/>
      <c r="C237" s="2"/>
      <c r="D237" s="2" t="s">
        <v>209</v>
      </c>
      <c r="E237" s="3"/>
      <c r="F237" s="56"/>
      <c r="G237" s="70"/>
      <c r="H237" s="50">
        <v>0</v>
      </c>
      <c r="I237" s="50">
        <f>H95</f>
        <v>0</v>
      </c>
      <c r="J237" s="50">
        <f>F96</f>
        <v>0</v>
      </c>
      <c r="K237" s="50">
        <f>H96</f>
        <v>0</v>
      </c>
    </row>
    <row r="238" spans="1:11" ht="13.5" customHeight="1">
      <c r="A238" s="12" t="s">
        <v>212</v>
      </c>
      <c r="B238" s="13"/>
      <c r="C238" s="13"/>
      <c r="D238" s="13" t="s">
        <v>262</v>
      </c>
      <c r="E238" s="14"/>
      <c r="F238" s="56"/>
      <c r="G238" s="70"/>
      <c r="H238" s="50">
        <v>0</v>
      </c>
      <c r="I238" s="50">
        <f>F25</f>
        <v>0</v>
      </c>
      <c r="J238" s="50">
        <f>F27</f>
        <v>0</v>
      </c>
      <c r="K238" s="50">
        <v>0</v>
      </c>
    </row>
    <row r="239" spans="1:11" ht="13.5" customHeight="1">
      <c r="A239" s="12" t="s">
        <v>261</v>
      </c>
      <c r="B239" s="13"/>
      <c r="C239" s="13"/>
      <c r="D239" s="13" t="s">
        <v>263</v>
      </c>
      <c r="E239" s="14"/>
      <c r="F239" s="56"/>
      <c r="G239" s="70"/>
      <c r="H239" s="50">
        <v>0</v>
      </c>
      <c r="I239" s="50">
        <f>F26</f>
        <v>0</v>
      </c>
      <c r="J239" s="50">
        <f>F27</f>
        <v>0</v>
      </c>
      <c r="K239" s="50">
        <v>0</v>
      </c>
    </row>
    <row r="240" spans="1:11" ht="13.5" customHeight="1">
      <c r="A240" s="12" t="s">
        <v>210</v>
      </c>
      <c r="B240" s="13"/>
      <c r="C240" s="13"/>
      <c r="D240" s="13" t="s">
        <v>264</v>
      </c>
      <c r="E240" s="14"/>
      <c r="F240" s="56"/>
      <c r="G240" s="70"/>
      <c r="H240" s="50">
        <f>F28</f>
        <v>0</v>
      </c>
      <c r="I240" s="50">
        <v>0</v>
      </c>
      <c r="J240" s="50">
        <f>F27</f>
        <v>0</v>
      </c>
      <c r="K240" s="50">
        <f>-F30</f>
        <v>0</v>
      </c>
    </row>
    <row r="241" spans="1:11" ht="13.5" customHeight="1">
      <c r="A241" s="18" t="s">
        <v>211</v>
      </c>
      <c r="B241" s="19"/>
      <c r="C241" s="19"/>
      <c r="D241" s="19" t="s">
        <v>265</v>
      </c>
      <c r="E241" s="20"/>
      <c r="F241" s="56"/>
      <c r="G241" s="70"/>
      <c r="H241" s="50">
        <f>F29</f>
        <v>0</v>
      </c>
      <c r="I241" s="50">
        <v>0</v>
      </c>
      <c r="J241" s="50">
        <f>F27</f>
        <v>0</v>
      </c>
      <c r="K241" s="50">
        <f>-F30</f>
        <v>0</v>
      </c>
    </row>
    <row r="242" ht="31.5" customHeight="1">
      <c r="A242" s="61" t="s">
        <v>139</v>
      </c>
    </row>
    <row r="243" ht="21.75" customHeight="1">
      <c r="A243" s="62" t="s">
        <v>405</v>
      </c>
    </row>
    <row r="244" spans="1:12" ht="13.5" customHeight="1">
      <c r="A244" s="28" t="s">
        <v>174</v>
      </c>
      <c r="B244" s="29"/>
      <c r="C244" s="29"/>
      <c r="D244" s="29"/>
      <c r="E244" s="30"/>
      <c r="F244" s="66" t="s">
        <v>175</v>
      </c>
      <c r="G244" s="66" t="s">
        <v>47</v>
      </c>
      <c r="H244" s="73" t="s">
        <v>48</v>
      </c>
      <c r="I244" s="65" t="s">
        <v>266</v>
      </c>
      <c r="J244" s="74" t="s">
        <v>267</v>
      </c>
      <c r="K244" s="74" t="s">
        <v>268</v>
      </c>
      <c r="L244" s="74" t="s">
        <v>269</v>
      </c>
    </row>
    <row r="245" spans="1:12" ht="13.5" customHeight="1">
      <c r="A245" s="18"/>
      <c r="B245" s="19"/>
      <c r="C245" s="19"/>
      <c r="D245" s="19"/>
      <c r="E245" s="20"/>
      <c r="F245" s="75"/>
      <c r="G245" s="75"/>
      <c r="H245" s="68" t="s">
        <v>52</v>
      </c>
      <c r="I245" s="67" t="s">
        <v>52</v>
      </c>
      <c r="J245" s="74" t="s">
        <v>53</v>
      </c>
      <c r="K245" s="74" t="s">
        <v>53</v>
      </c>
      <c r="L245" s="74" t="s">
        <v>270</v>
      </c>
    </row>
    <row r="246" spans="1:12" ht="13.5" customHeight="1">
      <c r="A246" s="9" t="s">
        <v>392</v>
      </c>
      <c r="B246" s="29"/>
      <c r="C246" s="29"/>
      <c r="D246" s="10" t="s">
        <v>57</v>
      </c>
      <c r="E246" s="30"/>
      <c r="F246" s="50">
        <f>F231</f>
        <v>0</v>
      </c>
      <c r="G246" s="50">
        <f>F109</f>
        <v>1.8</v>
      </c>
      <c r="H246" s="50">
        <f>H231*L79</f>
        <v>11.549178896554501</v>
      </c>
      <c r="I246" s="50">
        <f>I231*L79</f>
        <v>3.094593158574343</v>
      </c>
      <c r="J246" s="50">
        <f>F131</f>
        <v>1.5</v>
      </c>
      <c r="K246" s="50">
        <f>H131</f>
        <v>1.832967032967033</v>
      </c>
      <c r="L246" s="50">
        <f aca="true" t="shared" si="2" ref="L246:L254">H246*K246-I246*J246</f>
        <v>16.52737443736146</v>
      </c>
    </row>
    <row r="247" spans="1:12" ht="13.5" customHeight="1">
      <c r="A247" s="1" t="s">
        <v>321</v>
      </c>
      <c r="B247" s="13"/>
      <c r="C247" s="13"/>
      <c r="D247" s="2" t="s">
        <v>81</v>
      </c>
      <c r="E247" s="14"/>
      <c r="F247" s="50">
        <f>F232</f>
        <v>0</v>
      </c>
      <c r="G247" s="50">
        <f>F109</f>
        <v>1.8</v>
      </c>
      <c r="H247" s="50">
        <f>H232*L81</f>
        <v>2.1152342301381863</v>
      </c>
      <c r="I247" s="50">
        <f>I232*L81</f>
        <v>0.5667753037681945</v>
      </c>
      <c r="J247" s="50">
        <f>F141</f>
        <v>1.5</v>
      </c>
      <c r="K247" s="50">
        <f>H141</f>
        <v>2.1</v>
      </c>
      <c r="L247" s="50">
        <f t="shared" si="2"/>
        <v>3.5918289276379003</v>
      </c>
    </row>
    <row r="248" spans="1:12" ht="13.5" customHeight="1">
      <c r="A248" s="1" t="s">
        <v>392</v>
      </c>
      <c r="B248" s="13"/>
      <c r="C248" s="13"/>
      <c r="D248" s="2" t="s">
        <v>57</v>
      </c>
      <c r="E248" s="14"/>
      <c r="F248" s="50">
        <f>IF(F65=F5,0,F65)</f>
        <v>1.8</v>
      </c>
      <c r="G248" s="50">
        <f>F5</f>
        <v>3</v>
      </c>
      <c r="H248" s="50">
        <f>H233*L79</f>
        <v>16.66485750670447</v>
      </c>
      <c r="I248" s="50">
        <f>I233*L79</f>
        <v>5.254409388704756</v>
      </c>
      <c r="J248" s="50">
        <f>F181</f>
        <v>1.5</v>
      </c>
      <c r="K248" s="50">
        <f>H181</f>
        <v>0.5563636363636366</v>
      </c>
      <c r="L248" s="50">
        <f>H248*K248-I248*J248</f>
        <v>1.390106638854813</v>
      </c>
    </row>
    <row r="249" spans="1:12" ht="13.5" customHeight="1">
      <c r="A249" s="1" t="s">
        <v>321</v>
      </c>
      <c r="B249" s="13"/>
      <c r="C249" s="13"/>
      <c r="D249" s="2" t="s">
        <v>81</v>
      </c>
      <c r="E249" s="14"/>
      <c r="F249" s="50">
        <f>IF(F65=F5,0,F65)</f>
        <v>1.8</v>
      </c>
      <c r="G249" s="50">
        <f>F5</f>
        <v>3</v>
      </c>
      <c r="H249" s="50">
        <f>H234*L81</f>
        <v>1.2624892050533691</v>
      </c>
      <c r="I249" s="50">
        <f>I234*L81</f>
        <v>0.39806131732611794</v>
      </c>
      <c r="J249" s="50">
        <f>F191</f>
        <v>1.5</v>
      </c>
      <c r="K249" s="50">
        <f>H191</f>
        <v>0.6000000000000001</v>
      </c>
      <c r="L249" s="50">
        <f>H249*K249-I249*J249</f>
        <v>0.1604015470428447</v>
      </c>
    </row>
    <row r="250" spans="1:12" ht="13.5" customHeight="1">
      <c r="A250" s="1" t="s">
        <v>171</v>
      </c>
      <c r="B250" s="13"/>
      <c r="C250" s="13"/>
      <c r="D250" s="2" t="s">
        <v>82</v>
      </c>
      <c r="E250" s="14"/>
      <c r="F250" s="70"/>
      <c r="G250" s="70"/>
      <c r="H250" s="50">
        <f>H236</f>
        <v>0</v>
      </c>
      <c r="I250" s="50">
        <f>I236*L80</f>
        <v>71.25000000000001</v>
      </c>
      <c r="J250" s="50">
        <f>F93</f>
        <v>0.9590643274853803</v>
      </c>
      <c r="K250" s="50">
        <f>H93</f>
        <v>1.1976608187134505</v>
      </c>
      <c r="L250" s="50">
        <f t="shared" si="2"/>
        <v>-68.33333333333336</v>
      </c>
    </row>
    <row r="251" spans="1:12" ht="13.5" customHeight="1">
      <c r="A251" s="1" t="s">
        <v>172</v>
      </c>
      <c r="B251" s="13"/>
      <c r="C251" s="13"/>
      <c r="D251" s="2" t="s">
        <v>83</v>
      </c>
      <c r="E251" s="14"/>
      <c r="F251" s="70"/>
      <c r="G251" s="70"/>
      <c r="H251" s="50">
        <f>H237</f>
        <v>0</v>
      </c>
      <c r="I251" s="50">
        <f>I237*L80</f>
        <v>0</v>
      </c>
      <c r="J251" s="50">
        <f>F97</f>
        <v>1.5</v>
      </c>
      <c r="K251" s="50">
        <f>H97</f>
        <v>3</v>
      </c>
      <c r="L251" s="50">
        <f t="shared" si="2"/>
        <v>0</v>
      </c>
    </row>
    <row r="252" spans="1:12" ht="13.5" customHeight="1">
      <c r="A252" s="12" t="s">
        <v>56</v>
      </c>
      <c r="B252" s="13"/>
      <c r="C252" s="13"/>
      <c r="D252" s="13" t="s">
        <v>84</v>
      </c>
      <c r="E252" s="14"/>
      <c r="F252" s="70"/>
      <c r="G252" s="70"/>
      <c r="H252" s="50">
        <f>H238</f>
        <v>0</v>
      </c>
      <c r="I252" s="50">
        <f>I238*L80</f>
        <v>0</v>
      </c>
      <c r="J252" s="50">
        <f>F6+F7+F9-F27</f>
        <v>1.5</v>
      </c>
      <c r="K252" s="50">
        <f>F5</f>
        <v>3</v>
      </c>
      <c r="L252" s="50">
        <f t="shared" si="2"/>
        <v>0</v>
      </c>
    </row>
    <row r="253" spans="1:12" ht="13.5" customHeight="1">
      <c r="A253" s="12" t="s">
        <v>210</v>
      </c>
      <c r="B253" s="13"/>
      <c r="C253" s="13"/>
      <c r="D253" s="13" t="s">
        <v>85</v>
      </c>
      <c r="E253" s="14"/>
      <c r="F253" s="70"/>
      <c r="G253" s="70"/>
      <c r="H253" s="50">
        <f>H240*L79</f>
        <v>0</v>
      </c>
      <c r="I253" s="50">
        <f>I240</f>
        <v>0</v>
      </c>
      <c r="J253" s="50">
        <f>F6+F7+F9-F27</f>
        <v>1.5</v>
      </c>
      <c r="K253" s="50">
        <f>F5+F30</f>
        <v>3</v>
      </c>
      <c r="L253" s="50">
        <f t="shared" si="2"/>
        <v>0</v>
      </c>
    </row>
    <row r="254" spans="1:12" ht="13.5" customHeight="1">
      <c r="A254" s="12" t="s">
        <v>211</v>
      </c>
      <c r="B254" s="13"/>
      <c r="C254" s="13"/>
      <c r="D254" s="13" t="s">
        <v>86</v>
      </c>
      <c r="E254" s="14"/>
      <c r="F254" s="70"/>
      <c r="G254" s="70"/>
      <c r="H254" s="50">
        <f>H241*L81</f>
        <v>0</v>
      </c>
      <c r="I254" s="50">
        <f>I241</f>
        <v>0</v>
      </c>
      <c r="J254" s="50">
        <f>F6+F7+F9-F27</f>
        <v>1.5</v>
      </c>
      <c r="K254" s="50">
        <f>F5+F30</f>
        <v>3</v>
      </c>
      <c r="L254" s="50">
        <f t="shared" si="2"/>
        <v>0</v>
      </c>
    </row>
    <row r="255" spans="1:12" ht="13.5" customHeight="1">
      <c r="A255" s="18"/>
      <c r="B255" s="19"/>
      <c r="C255" s="19"/>
      <c r="D255" s="19"/>
      <c r="E255" s="20"/>
      <c r="F255" s="76" t="s">
        <v>333</v>
      </c>
      <c r="G255" s="55"/>
      <c r="H255" s="56"/>
      <c r="I255" s="50">
        <f>SUM(I246:I254)</f>
        <v>80.56383916837342</v>
      </c>
      <c r="J255" s="70"/>
      <c r="K255" s="70"/>
      <c r="L255" s="50">
        <f>SUM(L246:L254)</f>
        <v>-46.66362178243634</v>
      </c>
    </row>
    <row r="256" spans="1:12" ht="15.75" customHeight="1">
      <c r="A256" s="1" t="s">
        <v>393</v>
      </c>
      <c r="F256" s="77" t="s">
        <v>185</v>
      </c>
      <c r="G256" s="78">
        <f>I255</f>
        <v>80.56383916837342</v>
      </c>
      <c r="H256" s="40" t="s">
        <v>186</v>
      </c>
      <c r="J256" s="76" t="s">
        <v>303</v>
      </c>
      <c r="K256" s="55"/>
      <c r="L256" s="56"/>
    </row>
    <row r="257" spans="1:12" ht="13.5" customHeight="1">
      <c r="A257" s="1" t="s">
        <v>358</v>
      </c>
      <c r="F257" s="79" t="s">
        <v>33</v>
      </c>
      <c r="G257" s="80">
        <f>L255</f>
        <v>-46.66362178243634</v>
      </c>
      <c r="H257" s="40" t="s">
        <v>34</v>
      </c>
      <c r="J257" s="28"/>
      <c r="K257" s="29"/>
      <c r="L257" s="30"/>
    </row>
    <row r="258" spans="1:12" ht="13.5" customHeight="1">
      <c r="A258" s="1" t="s">
        <v>359</v>
      </c>
      <c r="F258" s="79" t="s">
        <v>35</v>
      </c>
      <c r="G258" s="80">
        <f>H246*K246+H247*K247+H248*K248+H249*K249+H250*K250+H251*K251+H252*K252+H253*K253+H254*K254+I246*(F17/2-J246)+I247*(F17/2-J247)+I248*(F17/2-J248)+I249*(F17/2-J249)+I250*(F17/2-J250)+I251*(F17/2-J251)+I252*(F17/2-J252)</f>
        <v>13.759257593843722</v>
      </c>
      <c r="H258" s="40" t="s">
        <v>34</v>
      </c>
      <c r="J258" s="12"/>
      <c r="K258" s="13"/>
      <c r="L258" s="14"/>
    </row>
    <row r="259" spans="1:12" ht="13.5" customHeight="1">
      <c r="A259" s="1" t="s">
        <v>360</v>
      </c>
      <c r="F259" s="79" t="s">
        <v>36</v>
      </c>
      <c r="G259" s="81">
        <f>G258/G256</f>
        <v>0.17078701481799705</v>
      </c>
      <c r="H259" s="82" t="str">
        <f>IF(G259&lt;I259,"&lt;","&gt;")</f>
        <v>&lt;</v>
      </c>
      <c r="I259" s="97">
        <f>F17/6</f>
        <v>0.25</v>
      </c>
      <c r="J259" s="12"/>
      <c r="K259" s="13"/>
      <c r="L259" s="14"/>
    </row>
    <row r="260" spans="1:12" ht="13.5" customHeight="1">
      <c r="A260" s="1" t="s">
        <v>245</v>
      </c>
      <c r="F260" s="79" t="s">
        <v>37</v>
      </c>
      <c r="G260" s="78">
        <f>IF(G259&gt;I259,G256/F17*(1+6*G259/F17)/1000,IF(G259=I259,2*G256/F17,G256/F17*(1+6*G259/F17)/1000))</f>
        <v>0.09040057969583222</v>
      </c>
      <c r="H260" s="40" t="s">
        <v>38</v>
      </c>
      <c r="J260" s="12"/>
      <c r="K260" s="13"/>
      <c r="L260" s="14"/>
    </row>
    <row r="261" spans="1:12" ht="13.5" customHeight="1">
      <c r="A261" s="1" t="s">
        <v>246</v>
      </c>
      <c r="F261" s="79" t="s">
        <v>39</v>
      </c>
      <c r="G261" s="78">
        <f>IF(G259&lt;I259,G256/F17*(1-6*G259/F17)/1000,IF(G259=I259,0,G256/F17*(1-6*G256/F17)/1000))</f>
        <v>0.017017872528665687</v>
      </c>
      <c r="H261" s="40" t="s">
        <v>40</v>
      </c>
      <c r="J261" s="12"/>
      <c r="K261" s="13"/>
      <c r="L261" s="14"/>
    </row>
    <row r="262" spans="1:12" ht="13.5" customHeight="1">
      <c r="A262" s="1" t="s">
        <v>247</v>
      </c>
      <c r="F262" s="79" t="s">
        <v>41</v>
      </c>
      <c r="G262" s="78">
        <f>F17-ABS(2*G259)</f>
        <v>1.1584259703640059</v>
      </c>
      <c r="H262" s="40" t="s">
        <v>42</v>
      </c>
      <c r="J262" s="12"/>
      <c r="K262" s="13"/>
      <c r="L262" s="14"/>
    </row>
    <row r="263" spans="1:12" ht="13.5" customHeight="1">
      <c r="A263" s="1" t="s">
        <v>248</v>
      </c>
      <c r="F263" s="83" t="s">
        <v>43</v>
      </c>
      <c r="G263" s="84">
        <f>G262*1000*L73/1</f>
        <v>231.6851940728012</v>
      </c>
      <c r="H263" s="11" t="s">
        <v>186</v>
      </c>
      <c r="J263" s="18"/>
      <c r="K263" s="19"/>
      <c r="L263" s="20"/>
    </row>
    <row r="264" spans="1:12" ht="19.5" customHeight="1">
      <c r="A264" s="90" t="s">
        <v>44</v>
      </c>
      <c r="B264" s="88"/>
      <c r="C264" s="88"/>
      <c r="D264" s="89"/>
      <c r="E264" s="87" t="str">
        <f>IF(G263&gt;G256,"ΦEPOYΣA IKANOTHTA EΔAΦOYΣ KAΛH  ( αφού Rd &gt; Vd)","***  AΛΛAΓH ΔIATOMHΣ  *** ( αφού Rd &lt; Vd) ")</f>
        <v>ΦEPOYΣA IKANOTHTA EΔAΦOYΣ KAΛH  ( αφού Rd &gt; Vd)</v>
      </c>
      <c r="F264" s="85"/>
      <c r="G264" s="85"/>
      <c r="H264" s="85"/>
      <c r="I264" s="85"/>
      <c r="J264" s="85"/>
      <c r="K264" s="85"/>
      <c r="L264" s="86"/>
    </row>
    <row r="265" ht="18" customHeight="1">
      <c r="A265" s="27" t="s">
        <v>406</v>
      </c>
    </row>
    <row r="266" spans="1:12" ht="13.5" customHeight="1">
      <c r="A266" s="28" t="s">
        <v>174</v>
      </c>
      <c r="B266" s="29"/>
      <c r="C266" s="29"/>
      <c r="D266" s="29"/>
      <c r="E266" s="30"/>
      <c r="F266" s="66" t="s">
        <v>175</v>
      </c>
      <c r="G266" s="66" t="s">
        <v>47</v>
      </c>
      <c r="H266" s="73" t="s">
        <v>48</v>
      </c>
      <c r="I266" s="65" t="s">
        <v>266</v>
      </c>
      <c r="J266" s="74" t="s">
        <v>267</v>
      </c>
      <c r="K266" s="74" t="s">
        <v>268</v>
      </c>
      <c r="L266" s="74" t="s">
        <v>269</v>
      </c>
    </row>
    <row r="267" spans="1:12" ht="13.5" customHeight="1">
      <c r="A267" s="53"/>
      <c r="B267" s="13"/>
      <c r="C267" s="13"/>
      <c r="D267" s="13"/>
      <c r="E267" s="14"/>
      <c r="F267" s="75"/>
      <c r="G267" s="75"/>
      <c r="H267" s="68" t="s">
        <v>52</v>
      </c>
      <c r="I267" s="67" t="s">
        <v>52</v>
      </c>
      <c r="J267" s="74" t="s">
        <v>53</v>
      </c>
      <c r="K267" s="74" t="s">
        <v>53</v>
      </c>
      <c r="L267" s="74" t="s">
        <v>270</v>
      </c>
    </row>
    <row r="268" spans="1:12" ht="13.5" customHeight="1">
      <c r="A268" s="9" t="s">
        <v>320</v>
      </c>
      <c r="B268" s="29"/>
      <c r="C268" s="29"/>
      <c r="D268" s="10" t="s">
        <v>45</v>
      </c>
      <c r="E268" s="30"/>
      <c r="F268" s="92">
        <f>F231</f>
        <v>0</v>
      </c>
      <c r="G268" s="50">
        <f>F109</f>
        <v>1.8</v>
      </c>
      <c r="H268" s="50">
        <f>H231*L79</f>
        <v>11.549178896554501</v>
      </c>
      <c r="I268" s="50">
        <f>I231*L79</f>
        <v>3.094593158574343</v>
      </c>
      <c r="J268" s="50">
        <f>F131</f>
        <v>1.5</v>
      </c>
      <c r="K268" s="50">
        <f>H131</f>
        <v>1.832967032967033</v>
      </c>
      <c r="L268" s="50">
        <f>H268*K268-I268*J268</f>
        <v>16.52737443736146</v>
      </c>
    </row>
    <row r="269" spans="1:12" ht="13.5" customHeight="1">
      <c r="A269" s="1" t="s">
        <v>321</v>
      </c>
      <c r="B269" s="13"/>
      <c r="C269" s="13"/>
      <c r="D269" s="2" t="s">
        <v>81</v>
      </c>
      <c r="E269" s="14"/>
      <c r="F269" s="92">
        <f>F232</f>
        <v>0</v>
      </c>
      <c r="G269" s="50">
        <f>F109</f>
        <v>1.8</v>
      </c>
      <c r="H269" s="50">
        <f>H232*L81</f>
        <v>2.1152342301381863</v>
      </c>
      <c r="I269" s="50">
        <f>I232*L81</f>
        <v>0.5667753037681945</v>
      </c>
      <c r="J269" s="50">
        <f>F141</f>
        <v>1.5</v>
      </c>
      <c r="K269" s="50">
        <f>H141</f>
        <v>2.1</v>
      </c>
      <c r="L269" s="50">
        <f aca="true" t="shared" si="3" ref="L269:L277">H269*K269-I269*J269</f>
        <v>3.5918289276379003</v>
      </c>
    </row>
    <row r="270" spans="1:12" ht="13.5" customHeight="1">
      <c r="A270" s="1" t="s">
        <v>320</v>
      </c>
      <c r="B270" s="13"/>
      <c r="C270" s="13"/>
      <c r="D270" s="2" t="s">
        <v>45</v>
      </c>
      <c r="E270" s="14"/>
      <c r="F270" s="92">
        <f>F109</f>
        <v>1.8</v>
      </c>
      <c r="G270" s="50">
        <f>F5</f>
        <v>3</v>
      </c>
      <c r="H270" s="50">
        <f>H233*L79</f>
        <v>16.66485750670447</v>
      </c>
      <c r="I270" s="50">
        <f>I233*L79</f>
        <v>5.254409388704756</v>
      </c>
      <c r="J270" s="50">
        <f>F181</f>
        <v>1.5</v>
      </c>
      <c r="K270" s="50">
        <f>H181</f>
        <v>0.5563636363636366</v>
      </c>
      <c r="L270" s="50">
        <f>H270*K270-I270*J270</f>
        <v>1.390106638854813</v>
      </c>
    </row>
    <row r="271" spans="1:12" ht="13.5" customHeight="1">
      <c r="A271" s="1" t="s">
        <v>321</v>
      </c>
      <c r="B271" s="13"/>
      <c r="C271" s="13"/>
      <c r="D271" s="2" t="s">
        <v>81</v>
      </c>
      <c r="E271" s="14"/>
      <c r="F271" s="92">
        <f>F109</f>
        <v>1.8</v>
      </c>
      <c r="G271" s="50">
        <f>F5</f>
        <v>3</v>
      </c>
      <c r="H271" s="50">
        <f>H234*L81</f>
        <v>1.2624892050533691</v>
      </c>
      <c r="I271" s="50">
        <f>I234*L81</f>
        <v>0.39806131732611794</v>
      </c>
      <c r="J271" s="50">
        <f>F191</f>
        <v>1.5</v>
      </c>
      <c r="K271" s="50">
        <f>H191</f>
        <v>0.6000000000000001</v>
      </c>
      <c r="L271" s="50">
        <f>H271*K271-I271*J271</f>
        <v>0.1604015470428447</v>
      </c>
    </row>
    <row r="272" spans="1:12" ht="13.5" customHeight="1">
      <c r="A272" s="1" t="s">
        <v>171</v>
      </c>
      <c r="B272" s="13"/>
      <c r="C272" s="13"/>
      <c r="D272" s="2" t="s">
        <v>46</v>
      </c>
      <c r="E272" s="14"/>
      <c r="F272" s="56"/>
      <c r="G272" s="70"/>
      <c r="H272" s="50">
        <f>H236</f>
        <v>0</v>
      </c>
      <c r="I272" s="50">
        <f>I250*L79</f>
        <v>96.18750000000003</v>
      </c>
      <c r="J272" s="50">
        <f>F93</f>
        <v>0.9590643274853803</v>
      </c>
      <c r="K272" s="50">
        <f>H93</f>
        <v>1.1976608187134505</v>
      </c>
      <c r="L272" s="50">
        <f t="shared" si="3"/>
        <v>-92.25000000000004</v>
      </c>
    </row>
    <row r="273" spans="1:12" ht="13.5" customHeight="1">
      <c r="A273" s="1" t="s">
        <v>172</v>
      </c>
      <c r="B273" s="13"/>
      <c r="C273" s="13"/>
      <c r="D273" s="2" t="s">
        <v>194</v>
      </c>
      <c r="E273" s="14"/>
      <c r="F273" s="56"/>
      <c r="G273" s="70"/>
      <c r="H273" s="50">
        <f>H237</f>
        <v>0</v>
      </c>
      <c r="I273" s="50">
        <f>I237*L79</f>
        <v>0</v>
      </c>
      <c r="J273" s="50">
        <f>F97</f>
        <v>1.5</v>
      </c>
      <c r="K273" s="50">
        <f>H97</f>
        <v>3</v>
      </c>
      <c r="L273" s="50">
        <f t="shared" si="3"/>
        <v>0</v>
      </c>
    </row>
    <row r="274" spans="1:12" ht="13.5" customHeight="1">
      <c r="A274" s="12" t="s">
        <v>212</v>
      </c>
      <c r="B274" s="13"/>
      <c r="C274" s="13"/>
      <c r="D274" s="13" t="s">
        <v>195</v>
      </c>
      <c r="E274" s="14"/>
      <c r="F274" s="56"/>
      <c r="G274" s="70"/>
      <c r="H274" s="50">
        <f>H238</f>
        <v>0</v>
      </c>
      <c r="I274" s="50">
        <f>I238*L79</f>
        <v>0</v>
      </c>
      <c r="J274" s="50">
        <f>F6+F7+F9-F27</f>
        <v>1.5</v>
      </c>
      <c r="K274" s="50">
        <f>F5</f>
        <v>3</v>
      </c>
      <c r="L274" s="50">
        <f t="shared" si="3"/>
        <v>0</v>
      </c>
    </row>
    <row r="275" spans="1:12" ht="13.5" customHeight="1">
      <c r="A275" s="12" t="s">
        <v>261</v>
      </c>
      <c r="B275" s="13"/>
      <c r="C275" s="13"/>
      <c r="D275" s="13" t="s">
        <v>196</v>
      </c>
      <c r="E275" s="14"/>
      <c r="F275" s="56"/>
      <c r="G275" s="70"/>
      <c r="H275" s="50">
        <f>H239</f>
        <v>0</v>
      </c>
      <c r="I275" s="50">
        <f>I239*L81</f>
        <v>0</v>
      </c>
      <c r="J275" s="50">
        <f>F6+F7+F9-F27</f>
        <v>1.5</v>
      </c>
      <c r="K275" s="50">
        <f>F5</f>
        <v>3</v>
      </c>
      <c r="L275" s="50">
        <f t="shared" si="3"/>
        <v>0</v>
      </c>
    </row>
    <row r="276" spans="1:12" ht="13.5" customHeight="1">
      <c r="A276" s="12" t="s">
        <v>210</v>
      </c>
      <c r="B276" s="13"/>
      <c r="C276" s="13"/>
      <c r="D276" s="13" t="s">
        <v>85</v>
      </c>
      <c r="E276" s="14"/>
      <c r="F276" s="56"/>
      <c r="G276" s="70"/>
      <c r="H276" s="50">
        <f>H240*L79</f>
        <v>0</v>
      </c>
      <c r="I276" s="50">
        <f>I240*L79</f>
        <v>0</v>
      </c>
      <c r="J276" s="50">
        <f>F6+F7+F9-F27</f>
        <v>1.5</v>
      </c>
      <c r="K276" s="50">
        <f>F5+F30</f>
        <v>3</v>
      </c>
      <c r="L276" s="50">
        <f t="shared" si="3"/>
        <v>0</v>
      </c>
    </row>
    <row r="277" spans="1:12" ht="13.5" customHeight="1">
      <c r="A277" s="12" t="s">
        <v>211</v>
      </c>
      <c r="B277" s="13"/>
      <c r="C277" s="13"/>
      <c r="D277" s="13" t="s">
        <v>86</v>
      </c>
      <c r="E277" s="14"/>
      <c r="F277" s="56"/>
      <c r="G277" s="70"/>
      <c r="H277" s="50">
        <f>H241*L81</f>
        <v>0</v>
      </c>
      <c r="I277" s="50">
        <f>I241*L81</f>
        <v>0</v>
      </c>
      <c r="J277" s="50">
        <f>F6+F7+F9-F27</f>
        <v>1.5</v>
      </c>
      <c r="K277" s="50">
        <f>F5+F30</f>
        <v>3</v>
      </c>
      <c r="L277" s="50">
        <f t="shared" si="3"/>
        <v>0</v>
      </c>
    </row>
    <row r="278" spans="1:12" ht="13.5" customHeight="1">
      <c r="A278" s="12"/>
      <c r="B278" s="13"/>
      <c r="C278" s="13"/>
      <c r="D278" s="13"/>
      <c r="E278" s="14"/>
      <c r="F278" s="55" t="s">
        <v>333</v>
      </c>
      <c r="G278" s="55"/>
      <c r="H278" s="56"/>
      <c r="I278" s="63">
        <f>SUM(I268:I277)</f>
        <v>105.50133916837343</v>
      </c>
      <c r="J278" s="70"/>
      <c r="K278" s="70"/>
      <c r="L278" s="63">
        <f>SUM(L268:L277)</f>
        <v>-70.58028844910302</v>
      </c>
    </row>
    <row r="279" spans="1:12" ht="13.5" customHeight="1">
      <c r="A279" s="9" t="s">
        <v>393</v>
      </c>
      <c r="B279" s="29"/>
      <c r="C279" s="29"/>
      <c r="D279" s="29"/>
      <c r="E279" s="30"/>
      <c r="F279" s="115" t="s">
        <v>185</v>
      </c>
      <c r="G279" s="91">
        <f>I278</f>
        <v>105.50133916837343</v>
      </c>
      <c r="H279" s="8" t="s">
        <v>186</v>
      </c>
      <c r="I279" s="105"/>
      <c r="J279" s="225" t="s">
        <v>303</v>
      </c>
      <c r="K279" s="225"/>
      <c r="L279" s="226"/>
    </row>
    <row r="280" spans="1:9" ht="13.5" customHeight="1">
      <c r="A280" s="1" t="s">
        <v>358</v>
      </c>
      <c r="B280" s="13"/>
      <c r="C280" s="13"/>
      <c r="D280" s="13"/>
      <c r="E280" s="14"/>
      <c r="F280" s="116" t="s">
        <v>33</v>
      </c>
      <c r="G280" s="80">
        <f>L278</f>
        <v>-70.58028844910302</v>
      </c>
      <c r="H280" s="40" t="s">
        <v>34</v>
      </c>
      <c r="I280" s="207"/>
    </row>
    <row r="281" spans="1:12" ht="13.5" customHeight="1">
      <c r="A281" s="1" t="s">
        <v>359</v>
      </c>
      <c r="B281" s="13"/>
      <c r="C281" s="13"/>
      <c r="D281" s="13"/>
      <c r="E281" s="14"/>
      <c r="F281" s="116" t="s">
        <v>35</v>
      </c>
      <c r="G281" s="80">
        <f>H268*K268+H269*K269+H270*K270+H271*K271+H272*K272+H273*K273+H274*K274+H275*K275+H276*K276+H277*K277+I268*(F17/2-J268)+I269*(F17/2-J269)+I270*(F17/2-J270)+I271*(F17/2-J271)+I272*(F17/2-J272)+I273*(F17/2-J273)+I274*(F17/2-J274)+I275*(F17/2-J275)+I276*(F17/2-J276)+I277*(F17/2-J277)</f>
        <v>8.54571592717705</v>
      </c>
      <c r="H281" s="40" t="s">
        <v>34</v>
      </c>
      <c r="I281" s="207"/>
      <c r="J281" s="13"/>
      <c r="K281" s="13"/>
      <c r="L281" s="14"/>
    </row>
    <row r="282" spans="1:12" ht="13.5" customHeight="1">
      <c r="A282" s="1" t="s">
        <v>360</v>
      </c>
      <c r="B282" s="13"/>
      <c r="C282" s="13"/>
      <c r="D282" s="13"/>
      <c r="E282" s="14"/>
      <c r="F282" s="116" t="s">
        <v>36</v>
      </c>
      <c r="G282" s="81">
        <f>G281/G279</f>
        <v>0.0810010185135056</v>
      </c>
      <c r="H282" s="82" t="str">
        <f>IF(G282&lt;I282,"&lt;","&gt;")</f>
        <v>&lt;</v>
      </c>
      <c r="I282" s="50">
        <f>F17/6</f>
        <v>0.25</v>
      </c>
      <c r="J282" s="13"/>
      <c r="K282" s="13"/>
      <c r="L282" s="14"/>
    </row>
    <row r="283" spans="1:12" ht="13.5" customHeight="1">
      <c r="A283" s="1" t="s">
        <v>245</v>
      </c>
      <c r="B283" s="13"/>
      <c r="C283" s="13"/>
      <c r="D283" s="13"/>
      <c r="E283" s="14"/>
      <c r="F283" s="116" t="s">
        <v>37</v>
      </c>
      <c r="G283" s="78">
        <f>IF(G282&gt;I282,G279/F17*(1+6*G282/F17)/1000,IF(G282=I282,2*G279/F17,G279/F17*(1+6*G282/F17)/1000))</f>
        <v>0.09312280191805442</v>
      </c>
      <c r="H283" s="40" t="s">
        <v>38</v>
      </c>
      <c r="I283" s="207"/>
      <c r="J283" s="13"/>
      <c r="K283" s="13"/>
      <c r="L283" s="14"/>
    </row>
    <row r="284" spans="1:12" ht="13.5" customHeight="1">
      <c r="A284" s="1" t="s">
        <v>246</v>
      </c>
      <c r="B284" s="13"/>
      <c r="C284" s="13"/>
      <c r="D284" s="13"/>
      <c r="E284" s="14"/>
      <c r="F284" s="116" t="s">
        <v>39</v>
      </c>
      <c r="G284" s="78">
        <f>IF(G282&lt;I282,G279/F17*(1-6*G282/F17)/1000,IF(G282=I282,0,G279/F17*(1-6*G279/F17)/1000))</f>
        <v>0.047545650306443484</v>
      </c>
      <c r="H284" s="40" t="s">
        <v>40</v>
      </c>
      <c r="I284" s="207"/>
      <c r="J284" s="13"/>
      <c r="K284" s="13"/>
      <c r="L284" s="14"/>
    </row>
    <row r="285" spans="1:12" ht="13.5" customHeight="1">
      <c r="A285" s="1" t="s">
        <v>247</v>
      </c>
      <c r="B285" s="13"/>
      <c r="C285" s="13"/>
      <c r="D285" s="13"/>
      <c r="E285" s="14"/>
      <c r="F285" s="116" t="s">
        <v>41</v>
      </c>
      <c r="G285" s="78">
        <f>F17-ABS(2*G282)</f>
        <v>1.3379979629729888</v>
      </c>
      <c r="H285" s="40" t="s">
        <v>42</v>
      </c>
      <c r="I285" s="207"/>
      <c r="J285" s="13"/>
      <c r="K285" s="13"/>
      <c r="L285" s="14"/>
    </row>
    <row r="286" spans="1:12" ht="13.5" customHeight="1">
      <c r="A286" s="6" t="s">
        <v>248</v>
      </c>
      <c r="B286" s="19"/>
      <c r="C286" s="19"/>
      <c r="D286" s="19"/>
      <c r="E286" s="20"/>
      <c r="F286" s="16" t="s">
        <v>43</v>
      </c>
      <c r="G286" s="80">
        <f>G285*1000*L73/1</f>
        <v>267.59959259459777</v>
      </c>
      <c r="H286" s="40" t="s">
        <v>186</v>
      </c>
      <c r="I286" s="75"/>
      <c r="J286" s="19"/>
      <c r="K286" s="19"/>
      <c r="L286" s="20"/>
    </row>
    <row r="287" spans="1:12" ht="16.5" customHeight="1">
      <c r="A287" s="117" t="s">
        <v>44</v>
      </c>
      <c r="B287" s="118"/>
      <c r="C287" s="118"/>
      <c r="D287" s="119"/>
      <c r="E287" s="120" t="str">
        <f>IF(G286&gt;G279,"ΦEPOYΣA IKANOTHTA EΔAΦOYΣ KAΛH  ( αφού Rd &gt; Vd)","***  AΛΛAΓH ΔIATOMHΣ  *** ( αφού Rd &lt; Vd) ")</f>
        <v>ΦEPOYΣA IKANOTHTA EΔAΦOYΣ KAΛH  ( αφού Rd &gt; Vd)</v>
      </c>
      <c r="F287" s="95"/>
      <c r="G287" s="95"/>
      <c r="H287" s="95"/>
      <c r="I287" s="95"/>
      <c r="J287" s="95"/>
      <c r="K287" s="95"/>
      <c r="L287" s="96"/>
    </row>
    <row r="288" ht="13.5" customHeight="1">
      <c r="A288" s="127" t="s">
        <v>140</v>
      </c>
    </row>
    <row r="289" spans="1:12" ht="18.75" customHeight="1">
      <c r="A289" s="28" t="s">
        <v>149</v>
      </c>
      <c r="B289" s="29"/>
      <c r="C289" s="29"/>
      <c r="D289" s="29"/>
      <c r="E289" s="29"/>
      <c r="F289" s="29"/>
      <c r="G289" s="29"/>
      <c r="H289" s="30"/>
      <c r="I289" s="49" t="s">
        <v>74</v>
      </c>
      <c r="J289" s="50">
        <f>F6+F7+F9</f>
        <v>1.5</v>
      </c>
      <c r="K289" s="49" t="s">
        <v>75</v>
      </c>
      <c r="L289" s="50">
        <f>F5</f>
        <v>3</v>
      </c>
    </row>
    <row r="290" spans="1:12" ht="13.5" customHeight="1">
      <c r="A290" s="18"/>
      <c r="B290" s="19"/>
      <c r="C290" s="19"/>
      <c r="D290" s="19"/>
      <c r="E290" s="19"/>
      <c r="F290" s="19"/>
      <c r="G290" s="19"/>
      <c r="H290" s="20"/>
      <c r="I290" s="49" t="s">
        <v>76</v>
      </c>
      <c r="J290" s="50">
        <v>0</v>
      </c>
      <c r="K290" s="49" t="s">
        <v>77</v>
      </c>
      <c r="L290" s="50">
        <v>0</v>
      </c>
    </row>
    <row r="291" spans="1:12" ht="13.5" customHeight="1">
      <c r="A291" s="28" t="s">
        <v>174</v>
      </c>
      <c r="B291" s="29"/>
      <c r="C291" s="29"/>
      <c r="D291" s="29"/>
      <c r="E291" s="66" t="s">
        <v>175</v>
      </c>
      <c r="F291" s="66" t="s">
        <v>47</v>
      </c>
      <c r="G291" s="73" t="s">
        <v>48</v>
      </c>
      <c r="H291" s="66" t="s">
        <v>266</v>
      </c>
      <c r="I291" s="74" t="s">
        <v>267</v>
      </c>
      <c r="J291" s="74" t="s">
        <v>268</v>
      </c>
      <c r="K291" s="74" t="s">
        <v>150</v>
      </c>
      <c r="L291" s="15" t="s">
        <v>151</v>
      </c>
    </row>
    <row r="292" spans="1:12" ht="13.5" customHeight="1">
      <c r="A292" s="12"/>
      <c r="B292" s="13"/>
      <c r="C292" s="13"/>
      <c r="D292" s="13"/>
      <c r="E292" s="75"/>
      <c r="F292" s="75"/>
      <c r="G292" s="68" t="s">
        <v>52</v>
      </c>
      <c r="H292" s="68" t="s">
        <v>52</v>
      </c>
      <c r="I292" s="74" t="s">
        <v>53</v>
      </c>
      <c r="J292" s="74" t="s">
        <v>53</v>
      </c>
      <c r="K292" s="74" t="s">
        <v>270</v>
      </c>
      <c r="L292" s="74" t="s">
        <v>270</v>
      </c>
    </row>
    <row r="293" spans="1:12" ht="13.5" customHeight="1">
      <c r="A293" s="9" t="s">
        <v>392</v>
      </c>
      <c r="B293" s="29"/>
      <c r="C293" s="29"/>
      <c r="D293" s="11" t="s">
        <v>57</v>
      </c>
      <c r="E293" s="92">
        <f>F231</f>
        <v>0</v>
      </c>
      <c r="F293" s="50">
        <f>F109</f>
        <v>1.8</v>
      </c>
      <c r="G293" s="50">
        <f>H231*L79</f>
        <v>11.549178896554501</v>
      </c>
      <c r="H293" s="50">
        <f>I231*L79</f>
        <v>3.094593158574343</v>
      </c>
      <c r="I293" s="50">
        <f>F131</f>
        <v>1.5</v>
      </c>
      <c r="J293" s="50">
        <f>H131</f>
        <v>1.832967032967033</v>
      </c>
      <c r="K293" s="50">
        <f aca="true" t="shared" si="4" ref="K293:K301">G293*J293</f>
        <v>21.169264175222974</v>
      </c>
      <c r="L293" s="50">
        <f>H293*I293</f>
        <v>4.641889737861515</v>
      </c>
    </row>
    <row r="294" spans="1:12" ht="13.5" customHeight="1">
      <c r="A294" s="1" t="s">
        <v>321</v>
      </c>
      <c r="B294" s="13"/>
      <c r="C294" s="13"/>
      <c r="D294" s="3" t="s">
        <v>81</v>
      </c>
      <c r="E294" s="92">
        <f>F232</f>
        <v>0</v>
      </c>
      <c r="F294" s="50">
        <f>F109</f>
        <v>1.8</v>
      </c>
      <c r="G294" s="50">
        <f>H232*L81</f>
        <v>2.1152342301381863</v>
      </c>
      <c r="H294" s="50">
        <f>I232*L81</f>
        <v>0.5667753037681945</v>
      </c>
      <c r="I294" s="50">
        <f>F141</f>
        <v>1.5</v>
      </c>
      <c r="J294" s="50">
        <f>H141</f>
        <v>2.1</v>
      </c>
      <c r="K294" s="50">
        <f t="shared" si="4"/>
        <v>4.441991883290192</v>
      </c>
      <c r="L294" s="50">
        <f aca="true" t="shared" si="5" ref="L294:L301">H294*I294</f>
        <v>0.8501629556522918</v>
      </c>
    </row>
    <row r="295" spans="1:12" ht="13.5" customHeight="1">
      <c r="A295" s="1" t="s">
        <v>392</v>
      </c>
      <c r="B295" s="13"/>
      <c r="C295" s="13"/>
      <c r="D295" s="3" t="s">
        <v>57</v>
      </c>
      <c r="E295" s="92">
        <f>F109</f>
        <v>1.8</v>
      </c>
      <c r="F295" s="50">
        <f>F5</f>
        <v>3</v>
      </c>
      <c r="G295" s="50">
        <f>H233*L79</f>
        <v>16.66485750670447</v>
      </c>
      <c r="H295" s="50">
        <f>I233*L79</f>
        <v>5.254409388704756</v>
      </c>
      <c r="I295" s="50">
        <f>F181</f>
        <v>1.5</v>
      </c>
      <c r="J295" s="50">
        <f>H181</f>
        <v>0.5563636363636366</v>
      </c>
      <c r="K295" s="50">
        <f t="shared" si="4"/>
        <v>9.271720721911947</v>
      </c>
      <c r="L295" s="50">
        <f t="shared" si="5"/>
        <v>7.881614083057134</v>
      </c>
    </row>
    <row r="296" spans="1:12" ht="13.5" customHeight="1">
      <c r="A296" s="1" t="s">
        <v>321</v>
      </c>
      <c r="B296" s="13"/>
      <c r="C296" s="13"/>
      <c r="D296" s="3" t="s">
        <v>81</v>
      </c>
      <c r="E296" s="92">
        <f>F109</f>
        <v>1.8</v>
      </c>
      <c r="F296" s="50">
        <f>F5</f>
        <v>3</v>
      </c>
      <c r="G296" s="50">
        <f>H234*L79</f>
        <v>1.1362402845480322</v>
      </c>
      <c r="H296" s="50">
        <f>I234*L79</f>
        <v>0.35825518559350616</v>
      </c>
      <c r="I296" s="50">
        <f>F191</f>
        <v>1.5</v>
      </c>
      <c r="J296" s="50">
        <f>H191</f>
        <v>0.6000000000000001</v>
      </c>
      <c r="K296" s="50">
        <f t="shared" si="4"/>
        <v>0.6817441707288194</v>
      </c>
      <c r="L296" s="50">
        <f t="shared" si="5"/>
        <v>0.5373827783902593</v>
      </c>
    </row>
    <row r="297" spans="1:12" ht="13.5" customHeight="1">
      <c r="A297" s="1" t="s">
        <v>171</v>
      </c>
      <c r="B297" s="13"/>
      <c r="C297" s="13"/>
      <c r="D297" s="3" t="s">
        <v>82</v>
      </c>
      <c r="F297" s="70"/>
      <c r="G297" s="50">
        <f>H236</f>
        <v>0</v>
      </c>
      <c r="H297" s="50">
        <f>I236*L80</f>
        <v>71.25000000000001</v>
      </c>
      <c r="I297" s="50">
        <f>F93</f>
        <v>0.9590643274853803</v>
      </c>
      <c r="J297" s="50">
        <f>H93</f>
        <v>1.1976608187134505</v>
      </c>
      <c r="K297" s="50">
        <f t="shared" si="4"/>
        <v>0</v>
      </c>
      <c r="L297" s="50">
        <f t="shared" si="5"/>
        <v>68.33333333333336</v>
      </c>
    </row>
    <row r="298" spans="1:12" ht="13.5" customHeight="1">
      <c r="A298" s="1" t="s">
        <v>172</v>
      </c>
      <c r="B298" s="13"/>
      <c r="C298" s="13"/>
      <c r="D298" s="3" t="s">
        <v>83</v>
      </c>
      <c r="F298" s="70"/>
      <c r="G298" s="50">
        <f>H237</f>
        <v>0</v>
      </c>
      <c r="H298" s="50">
        <f>I237*L80</f>
        <v>0</v>
      </c>
      <c r="I298" s="50">
        <f>F97</f>
        <v>1.5</v>
      </c>
      <c r="J298" s="50">
        <f>H97</f>
        <v>3</v>
      </c>
      <c r="K298" s="50">
        <f t="shared" si="4"/>
        <v>0</v>
      </c>
      <c r="L298" s="50">
        <f t="shared" si="5"/>
        <v>0</v>
      </c>
    </row>
    <row r="299" spans="1:12" ht="13.5" customHeight="1">
      <c r="A299" s="12" t="s">
        <v>56</v>
      </c>
      <c r="B299" s="13"/>
      <c r="C299" s="13"/>
      <c r="D299" s="14" t="s">
        <v>84</v>
      </c>
      <c r="E299" s="124"/>
      <c r="F299" s="70"/>
      <c r="G299" s="50">
        <f>H238</f>
        <v>0</v>
      </c>
      <c r="H299" s="50">
        <f>I238*L80</f>
        <v>0</v>
      </c>
      <c r="I299" s="50">
        <f>F6+F7+F9-F27</f>
        <v>1.5</v>
      </c>
      <c r="J299" s="50">
        <f>F5</f>
        <v>3</v>
      </c>
      <c r="K299" s="50">
        <f t="shared" si="4"/>
        <v>0</v>
      </c>
      <c r="L299" s="50">
        <f t="shared" si="5"/>
        <v>0</v>
      </c>
    </row>
    <row r="300" spans="1:12" ht="13.5" customHeight="1">
      <c r="A300" s="12" t="s">
        <v>210</v>
      </c>
      <c r="B300" s="13"/>
      <c r="C300" s="13"/>
      <c r="D300" s="14" t="s">
        <v>85</v>
      </c>
      <c r="E300" s="124"/>
      <c r="F300" s="70"/>
      <c r="G300" s="50">
        <f>H240*L79</f>
        <v>0</v>
      </c>
      <c r="H300" s="50">
        <f>I240</f>
        <v>0</v>
      </c>
      <c r="I300" s="50">
        <f>F6+F7+F9-F27</f>
        <v>1.5</v>
      </c>
      <c r="J300" s="50">
        <f>F5+F30</f>
        <v>3</v>
      </c>
      <c r="K300" s="50">
        <f t="shared" si="4"/>
        <v>0</v>
      </c>
      <c r="L300" s="50">
        <f t="shared" si="5"/>
        <v>0</v>
      </c>
    </row>
    <row r="301" spans="1:12" ht="13.5" customHeight="1">
      <c r="A301" s="12" t="s">
        <v>211</v>
      </c>
      <c r="B301" s="13"/>
      <c r="C301" s="13"/>
      <c r="D301" s="14" t="s">
        <v>86</v>
      </c>
      <c r="E301" s="195"/>
      <c r="F301" s="105"/>
      <c r="G301" s="106">
        <f>H241*L81</f>
        <v>0</v>
      </c>
      <c r="H301" s="106">
        <f>I241</f>
        <v>0</v>
      </c>
      <c r="I301" s="106">
        <f>F6+F7+F9-F27</f>
        <v>1.5</v>
      </c>
      <c r="J301" s="106">
        <f>F5+F30</f>
        <v>3</v>
      </c>
      <c r="K301" s="50">
        <f t="shared" si="4"/>
        <v>0</v>
      </c>
      <c r="L301" s="50">
        <f t="shared" si="5"/>
        <v>0</v>
      </c>
    </row>
    <row r="302" spans="1:12" ht="13.5" customHeight="1">
      <c r="A302" s="18"/>
      <c r="B302" s="19"/>
      <c r="C302" s="19"/>
      <c r="D302" s="20"/>
      <c r="E302" s="55" t="s">
        <v>333</v>
      </c>
      <c r="F302" s="55"/>
      <c r="G302" s="55"/>
      <c r="H302" s="55"/>
      <c r="I302" s="55"/>
      <c r="J302" s="56"/>
      <c r="K302" s="50">
        <f>SUM(K293:K301)</f>
        <v>35.56472095115393</v>
      </c>
      <c r="L302" s="50">
        <f>SUM(L293:L301)</f>
        <v>82.24438288829455</v>
      </c>
    </row>
    <row r="303" spans="1:7" ht="13.5" customHeight="1">
      <c r="A303" s="28" t="s">
        <v>152</v>
      </c>
      <c r="B303" s="29"/>
      <c r="C303" s="29"/>
      <c r="D303" s="30"/>
      <c r="E303" s="15" t="s">
        <v>3</v>
      </c>
      <c r="F303" s="107">
        <f>K302</f>
        <v>35.56472095115393</v>
      </c>
      <c r="G303" s="40" t="s">
        <v>34</v>
      </c>
    </row>
    <row r="304" spans="1:7" ht="13.5" customHeight="1">
      <c r="A304" s="18" t="s">
        <v>170</v>
      </c>
      <c r="B304" s="19"/>
      <c r="C304" s="19"/>
      <c r="D304" s="20"/>
      <c r="E304" s="108" t="s">
        <v>4</v>
      </c>
      <c r="F304" s="109">
        <f>L302</f>
        <v>82.24438288829455</v>
      </c>
      <c r="G304" s="11" t="s">
        <v>34</v>
      </c>
    </row>
    <row r="305" spans="1:12" ht="16.5" customHeight="1">
      <c r="A305" s="90" t="s">
        <v>5</v>
      </c>
      <c r="B305" s="112"/>
      <c r="C305" s="112"/>
      <c r="D305" s="113"/>
      <c r="E305" s="87" t="str">
        <f>IF(F303&lt;=F304,"EΛEΓXOΣ ΣE ANATPOΠH  ENTAΞEI  ( αφού Msd &lt; Mrd )","***  AΛΛAΓH ΔIATOMHΣ  *** ( αφού Msd &gt; Mrd ) ")</f>
        <v>EΛEΓXOΣ ΣE ANATPOΠH  ENTAΞEI  ( αφού Msd &lt; Mrd )</v>
      </c>
      <c r="F305" s="110"/>
      <c r="G305" s="110"/>
      <c r="H305" s="110"/>
      <c r="I305" s="110"/>
      <c r="J305" s="110"/>
      <c r="K305" s="110"/>
      <c r="L305" s="111"/>
    </row>
    <row r="306" ht="33" customHeight="1">
      <c r="A306" s="127" t="s">
        <v>141</v>
      </c>
    </row>
    <row r="307" spans="1:10" ht="13.5" customHeight="1">
      <c r="A307" s="28" t="s">
        <v>174</v>
      </c>
      <c r="B307" s="29"/>
      <c r="C307" s="29"/>
      <c r="D307" s="29"/>
      <c r="E307" s="30"/>
      <c r="F307" s="71" t="s">
        <v>175</v>
      </c>
      <c r="G307" s="66" t="s">
        <v>47</v>
      </c>
      <c r="H307" s="73" t="s">
        <v>6</v>
      </c>
      <c r="I307" s="74" t="s">
        <v>7</v>
      </c>
      <c r="J307" s="51" t="s">
        <v>266</v>
      </c>
    </row>
    <row r="308" spans="1:10" ht="13.5" customHeight="1">
      <c r="A308" s="12"/>
      <c r="B308" s="13"/>
      <c r="C308" s="13"/>
      <c r="D308" s="13"/>
      <c r="E308" s="14"/>
      <c r="F308" s="20"/>
      <c r="G308" s="75"/>
      <c r="H308" s="68" t="s">
        <v>52</v>
      </c>
      <c r="I308" s="74" t="s">
        <v>52</v>
      </c>
      <c r="J308" s="74" t="s">
        <v>52</v>
      </c>
    </row>
    <row r="309" spans="1:10" ht="13.5" customHeight="1">
      <c r="A309" s="9" t="s">
        <v>320</v>
      </c>
      <c r="B309" s="29"/>
      <c r="C309" s="29"/>
      <c r="D309" s="10" t="s">
        <v>57</v>
      </c>
      <c r="E309" s="30"/>
      <c r="F309" s="92">
        <f>F231</f>
        <v>0</v>
      </c>
      <c r="G309" s="50">
        <f>F109</f>
        <v>1.8</v>
      </c>
      <c r="H309" s="50">
        <f>H231*L79</f>
        <v>11.549178896554501</v>
      </c>
      <c r="I309" s="50">
        <v>0</v>
      </c>
      <c r="J309" s="50">
        <f>I231*L79</f>
        <v>3.094593158574343</v>
      </c>
    </row>
    <row r="310" spans="1:10" ht="13.5" customHeight="1">
      <c r="A310" s="1" t="s">
        <v>321</v>
      </c>
      <c r="B310" s="13"/>
      <c r="C310" s="13"/>
      <c r="D310" s="2" t="s">
        <v>81</v>
      </c>
      <c r="E310" s="14"/>
      <c r="F310" s="92">
        <f>F222</f>
        <v>0</v>
      </c>
      <c r="G310" s="50">
        <f>F109</f>
        <v>1.8</v>
      </c>
      <c r="H310" s="50">
        <f>H232*L81</f>
        <v>2.1152342301381863</v>
      </c>
      <c r="I310" s="50">
        <v>0</v>
      </c>
      <c r="J310" s="50">
        <f>I232*L81</f>
        <v>0.5667753037681945</v>
      </c>
    </row>
    <row r="311" spans="1:10" ht="13.5" customHeight="1">
      <c r="A311" s="1" t="s">
        <v>320</v>
      </c>
      <c r="B311" s="13"/>
      <c r="C311" s="13"/>
      <c r="D311" s="2" t="s">
        <v>57</v>
      </c>
      <c r="E311" s="14"/>
      <c r="F311" s="92">
        <f>F109</f>
        <v>1.8</v>
      </c>
      <c r="G311" s="50">
        <f>F5</f>
        <v>3</v>
      </c>
      <c r="H311" s="50">
        <f>H233*L79</f>
        <v>16.66485750670447</v>
      </c>
      <c r="I311" s="50">
        <v>0</v>
      </c>
      <c r="J311" s="50">
        <f>I233*L79</f>
        <v>5.254409388704756</v>
      </c>
    </row>
    <row r="312" spans="1:10" ht="13.5" customHeight="1">
      <c r="A312" s="1" t="s">
        <v>321</v>
      </c>
      <c r="B312" s="13"/>
      <c r="C312" s="13"/>
      <c r="D312" s="2" t="s">
        <v>81</v>
      </c>
      <c r="E312" s="14"/>
      <c r="F312" s="92">
        <f>F109</f>
        <v>1.8</v>
      </c>
      <c r="G312" s="50">
        <f>F5</f>
        <v>3</v>
      </c>
      <c r="H312" s="50">
        <f>H234*L81</f>
        <v>1.2624892050533691</v>
      </c>
      <c r="I312" s="50">
        <v>0</v>
      </c>
      <c r="J312" s="50">
        <f>I234*L81</f>
        <v>0.39806131732611794</v>
      </c>
    </row>
    <row r="313" spans="1:10" ht="13.5" customHeight="1">
      <c r="A313" s="1" t="s">
        <v>322</v>
      </c>
      <c r="B313" s="13"/>
      <c r="C313" s="13"/>
      <c r="D313" s="2" t="s">
        <v>112</v>
      </c>
      <c r="E313" s="14"/>
      <c r="F313" s="92">
        <f>F5-L65</f>
        <v>2.2</v>
      </c>
      <c r="G313" s="50">
        <f>F5</f>
        <v>3</v>
      </c>
      <c r="H313" s="50">
        <v>0</v>
      </c>
      <c r="I313" s="50">
        <f>ABS(H216)</f>
        <v>17.280000000000005</v>
      </c>
      <c r="J313" s="50">
        <v>0</v>
      </c>
    </row>
    <row r="314" spans="1:10" ht="13.5" customHeight="1">
      <c r="A314" s="1" t="s">
        <v>171</v>
      </c>
      <c r="B314" s="13"/>
      <c r="C314" s="13"/>
      <c r="D314" s="2" t="s">
        <v>82</v>
      </c>
      <c r="E314" s="14"/>
      <c r="F314" s="56"/>
      <c r="G314" s="70"/>
      <c r="H314" s="50">
        <f>H236</f>
        <v>0</v>
      </c>
      <c r="I314" s="50">
        <v>0</v>
      </c>
      <c r="J314" s="50">
        <f>I236*L80</f>
        <v>71.25000000000001</v>
      </c>
    </row>
    <row r="315" spans="1:10" ht="13.5" customHeight="1">
      <c r="A315" s="1" t="s">
        <v>172</v>
      </c>
      <c r="B315" s="13"/>
      <c r="C315" s="13"/>
      <c r="D315" s="2" t="s">
        <v>83</v>
      </c>
      <c r="E315" s="14"/>
      <c r="F315" s="56"/>
      <c r="G315" s="70"/>
      <c r="H315" s="50">
        <f>H237</f>
        <v>0</v>
      </c>
      <c r="I315" s="50">
        <v>0</v>
      </c>
      <c r="J315" s="50">
        <f>I237*L80</f>
        <v>0</v>
      </c>
    </row>
    <row r="316" spans="1:10" ht="13.5" customHeight="1">
      <c r="A316" s="12" t="s">
        <v>212</v>
      </c>
      <c r="B316" s="13"/>
      <c r="C316" s="13"/>
      <c r="D316" s="13" t="s">
        <v>84</v>
      </c>
      <c r="E316" s="14"/>
      <c r="F316" s="56"/>
      <c r="G316" s="70"/>
      <c r="H316" s="50">
        <f>H238</f>
        <v>0</v>
      </c>
      <c r="I316" s="50">
        <v>0</v>
      </c>
      <c r="J316" s="50">
        <f>I238*L80</f>
        <v>0</v>
      </c>
    </row>
    <row r="317" spans="1:10" ht="13.5" customHeight="1">
      <c r="A317" s="12" t="s">
        <v>210</v>
      </c>
      <c r="B317" s="13"/>
      <c r="C317" s="13"/>
      <c r="D317" s="13" t="s">
        <v>85</v>
      </c>
      <c r="E317" s="14"/>
      <c r="F317" s="56"/>
      <c r="G317" s="70"/>
      <c r="H317" s="50">
        <f>H240*L79</f>
        <v>0</v>
      </c>
      <c r="I317" s="50">
        <v>0</v>
      </c>
      <c r="J317" s="50">
        <f>I240</f>
        <v>0</v>
      </c>
    </row>
    <row r="318" spans="1:10" ht="13.5" customHeight="1">
      <c r="A318" s="12" t="s">
        <v>211</v>
      </c>
      <c r="B318" s="13"/>
      <c r="C318" s="13"/>
      <c r="D318" s="13" t="s">
        <v>86</v>
      </c>
      <c r="E318" s="14"/>
      <c r="F318" s="56"/>
      <c r="G318" s="70"/>
      <c r="H318" s="50">
        <f>H241*L81</f>
        <v>0</v>
      </c>
      <c r="I318" s="50">
        <v>0</v>
      </c>
      <c r="J318" s="50">
        <f>I241</f>
        <v>0</v>
      </c>
    </row>
    <row r="319" spans="1:10" ht="13.5" customHeight="1">
      <c r="A319" s="18"/>
      <c r="B319" s="19"/>
      <c r="C319" s="19"/>
      <c r="D319" s="19"/>
      <c r="E319" s="20"/>
      <c r="F319" s="55" t="s">
        <v>333</v>
      </c>
      <c r="G319" s="56"/>
      <c r="H319" s="50">
        <f>SUM(H309:H318)</f>
        <v>31.59175983845053</v>
      </c>
      <c r="I319" s="50">
        <f>SUM(I309:I318)</f>
        <v>17.280000000000005</v>
      </c>
      <c r="J319" s="50">
        <f>SUM(J309:J318)</f>
        <v>80.56383916837342</v>
      </c>
    </row>
    <row r="320" spans="1:8" ht="13.5" customHeight="1">
      <c r="A320" s="12" t="s">
        <v>217</v>
      </c>
      <c r="B320" s="13"/>
      <c r="C320" s="13"/>
      <c r="D320" s="13"/>
      <c r="E320" s="14"/>
      <c r="F320" s="104" t="s">
        <v>218</v>
      </c>
      <c r="G320" s="97">
        <f>J319*TAN(RADIANS(L75))/1</f>
        <v>46.51355423081011</v>
      </c>
      <c r="H320" s="40" t="s">
        <v>186</v>
      </c>
    </row>
    <row r="321" spans="1:8" ht="13.5" customHeight="1">
      <c r="A321" s="18" t="s">
        <v>341</v>
      </c>
      <c r="B321" s="19"/>
      <c r="C321" s="19"/>
      <c r="D321" s="19"/>
      <c r="E321" s="20"/>
      <c r="F321" s="104" t="s">
        <v>218</v>
      </c>
      <c r="G321" s="97">
        <f>1000*F17*L74</f>
        <v>15</v>
      </c>
      <c r="H321" s="40" t="s">
        <v>186</v>
      </c>
    </row>
    <row r="322" spans="1:8" ht="19.5" customHeight="1">
      <c r="A322" s="145" t="s">
        <v>342</v>
      </c>
      <c r="B322" s="55"/>
      <c r="C322" s="55"/>
      <c r="D322" s="55"/>
      <c r="E322" s="55"/>
      <c r="F322" s="55"/>
      <c r="G322" s="55"/>
      <c r="H322" s="56"/>
    </row>
    <row r="323" spans="1:8" ht="19.5" customHeight="1">
      <c r="A323" s="28" t="s">
        <v>343</v>
      </c>
      <c r="B323" s="29"/>
      <c r="C323" s="29"/>
      <c r="D323" s="29"/>
      <c r="E323" s="30"/>
      <c r="F323" s="104" t="s">
        <v>219</v>
      </c>
      <c r="G323" s="107">
        <f>H319</f>
        <v>31.59175983845053</v>
      </c>
      <c r="H323" s="56" t="s">
        <v>186</v>
      </c>
    </row>
    <row r="324" spans="1:8" ht="13.5" customHeight="1">
      <c r="A324" s="18" t="s">
        <v>344</v>
      </c>
      <c r="B324" s="19"/>
      <c r="C324" s="19"/>
      <c r="D324" s="19"/>
      <c r="E324" s="20"/>
      <c r="F324" s="56" t="s">
        <v>220</v>
      </c>
      <c r="G324" s="107">
        <f>I319+G320</f>
        <v>63.793554230810116</v>
      </c>
      <c r="H324" s="56" t="s">
        <v>186</v>
      </c>
    </row>
    <row r="325" spans="1:12" ht="18.75" customHeight="1">
      <c r="A325" s="117" t="s">
        <v>345</v>
      </c>
      <c r="B325" s="118"/>
      <c r="C325" s="118"/>
      <c r="D325" s="118"/>
      <c r="E325" s="120" t="str">
        <f>IF(G323&lt;=G324,"EΛEΓXOΣ ΣE OΛIΣΘHΣH  ENTAΞEI  ( αφού Hd &lt; Sd+Epd )","***  AΛΛAΓH ΔIATOMHΣ  ***")</f>
        <v>EΛEΓXOΣ ΣE OΛIΣΘHΣH  ENTAΞEI  ( αφού Hd &lt; Sd+Epd )</v>
      </c>
      <c r="F325" s="95"/>
      <c r="G325" s="95"/>
      <c r="H325" s="95"/>
      <c r="I325" s="95"/>
      <c r="J325" s="95"/>
      <c r="K325" s="93"/>
      <c r="L325" s="94"/>
    </row>
    <row r="326" ht="45" customHeight="1">
      <c r="A326" s="127" t="s">
        <v>142</v>
      </c>
    </row>
    <row r="327" ht="18.75" customHeight="1">
      <c r="A327" s="127" t="s">
        <v>221</v>
      </c>
    </row>
    <row r="328" spans="1:11" ht="13.5" customHeight="1">
      <c r="A328" s="9" t="s">
        <v>174</v>
      </c>
      <c r="B328" s="29"/>
      <c r="C328" s="29"/>
      <c r="D328" s="29"/>
      <c r="E328" s="30"/>
      <c r="F328" s="71" t="s">
        <v>175</v>
      </c>
      <c r="G328" s="66" t="s">
        <v>47</v>
      </c>
      <c r="H328" s="66" t="s">
        <v>48</v>
      </c>
      <c r="I328" s="66" t="s">
        <v>49</v>
      </c>
      <c r="J328" s="66" t="s">
        <v>50</v>
      </c>
      <c r="K328" s="66" t="s">
        <v>51</v>
      </c>
    </row>
    <row r="329" spans="1:11" ht="13.5" customHeight="1">
      <c r="A329" s="6"/>
      <c r="B329" s="19"/>
      <c r="C329" s="19"/>
      <c r="D329" s="19"/>
      <c r="E329" s="20"/>
      <c r="F329" s="121"/>
      <c r="G329" s="69"/>
      <c r="H329" s="69" t="s">
        <v>52</v>
      </c>
      <c r="I329" s="69" t="s">
        <v>52</v>
      </c>
      <c r="J329" s="69" t="s">
        <v>53</v>
      </c>
      <c r="K329" s="69" t="s">
        <v>53</v>
      </c>
    </row>
    <row r="330" spans="1:11" ht="13.5" customHeight="1">
      <c r="A330" s="9" t="s">
        <v>320</v>
      </c>
      <c r="B330" s="10"/>
      <c r="C330" s="10"/>
      <c r="D330" s="131" t="s">
        <v>403</v>
      </c>
      <c r="E330" s="11"/>
      <c r="F330" s="50">
        <f>F231</f>
        <v>0</v>
      </c>
      <c r="G330" s="50">
        <f>F109</f>
        <v>1.8</v>
      </c>
      <c r="H330" s="50">
        <f>H127</f>
        <v>8.554947330781111</v>
      </c>
      <c r="I330" s="50">
        <f>H128</f>
        <v>2.2922912285735872</v>
      </c>
      <c r="J330" s="50">
        <f>F130</f>
        <v>0</v>
      </c>
      <c r="K330" s="50">
        <f>H130</f>
        <v>1.167032967032967</v>
      </c>
    </row>
    <row r="331" spans="1:11" ht="13.5" customHeight="1">
      <c r="A331" s="1" t="s">
        <v>321</v>
      </c>
      <c r="B331" s="2"/>
      <c r="C331" s="2"/>
      <c r="D331" s="44" t="s">
        <v>388</v>
      </c>
      <c r="E331" s="3"/>
      <c r="F331" s="50">
        <f>F232</f>
        <v>0</v>
      </c>
      <c r="G331" s="50">
        <f>F109</f>
        <v>1.8</v>
      </c>
      <c r="H331" s="50">
        <f>H137</f>
        <v>1.4101561534254576</v>
      </c>
      <c r="I331" s="50">
        <f>H138</f>
        <v>0.3778502025121297</v>
      </c>
      <c r="J331" s="50">
        <f>F140</f>
        <v>0</v>
      </c>
      <c r="K331" s="50">
        <f>H140</f>
        <v>0.9</v>
      </c>
    </row>
    <row r="332" spans="1:11" ht="13.5" customHeight="1">
      <c r="A332" s="1" t="s">
        <v>320</v>
      </c>
      <c r="B332" s="2"/>
      <c r="C332" s="2"/>
      <c r="D332" s="44" t="s">
        <v>403</v>
      </c>
      <c r="E332" s="3"/>
      <c r="F332" s="50">
        <f>F109</f>
        <v>1.8</v>
      </c>
      <c r="G332" s="50">
        <f>F5</f>
        <v>3</v>
      </c>
      <c r="H332" s="50">
        <f>H177</f>
        <v>12.344338893855163</v>
      </c>
      <c r="I332" s="50">
        <f>H178</f>
        <v>3.8921551027442636</v>
      </c>
      <c r="J332" s="50">
        <f>F180</f>
        <v>0</v>
      </c>
      <c r="K332" s="50">
        <f>H180</f>
        <v>2.4436363636363634</v>
      </c>
    </row>
    <row r="333" spans="1:11" ht="13.5" customHeight="1">
      <c r="A333" s="1" t="s">
        <v>321</v>
      </c>
      <c r="B333" s="2"/>
      <c r="C333" s="2"/>
      <c r="D333" s="44" t="s">
        <v>388</v>
      </c>
      <c r="E333" s="3"/>
      <c r="F333" s="50">
        <f>F109</f>
        <v>1.8</v>
      </c>
      <c r="G333" s="50">
        <f>F5</f>
        <v>3</v>
      </c>
      <c r="H333" s="50">
        <f>H187</f>
        <v>0.8416594700355794</v>
      </c>
      <c r="I333" s="50">
        <f>H188</f>
        <v>0.2653742115507453</v>
      </c>
      <c r="J333" s="50">
        <f>F190</f>
        <v>0</v>
      </c>
      <c r="K333" s="50">
        <f>H190</f>
        <v>2.4</v>
      </c>
    </row>
    <row r="334" spans="1:11" ht="13.5" customHeight="1">
      <c r="A334" s="1" t="s">
        <v>322</v>
      </c>
      <c r="B334" s="2"/>
      <c r="C334" s="2"/>
      <c r="D334" s="44" t="s">
        <v>197</v>
      </c>
      <c r="E334" s="3"/>
      <c r="F334" s="50">
        <f>F5-L65</f>
        <v>2.2</v>
      </c>
      <c r="G334" s="50">
        <f>F5</f>
        <v>3</v>
      </c>
      <c r="H334" s="50">
        <f>H218</f>
        <v>-17.280000000000005</v>
      </c>
      <c r="I334" s="50">
        <f>H219</f>
        <v>0</v>
      </c>
      <c r="J334" s="50">
        <f>F221</f>
        <v>1.5</v>
      </c>
      <c r="K334" s="50">
        <f>H221</f>
        <v>2.7333333333333334</v>
      </c>
    </row>
    <row r="335" spans="1:11" ht="13.5" customHeight="1">
      <c r="A335" s="1" t="s">
        <v>171</v>
      </c>
      <c r="B335" s="2"/>
      <c r="C335" s="2"/>
      <c r="D335" s="44" t="s">
        <v>198</v>
      </c>
      <c r="E335" s="3"/>
      <c r="F335" s="50"/>
      <c r="G335" s="50"/>
      <c r="H335" s="50">
        <v>0</v>
      </c>
      <c r="I335" s="50">
        <f>H91</f>
        <v>71.25000000000001</v>
      </c>
      <c r="J335" s="50">
        <f>F92</f>
        <v>0.5409356725146197</v>
      </c>
      <c r="K335" s="50">
        <f>H92</f>
        <v>1.8023391812865495</v>
      </c>
    </row>
    <row r="336" spans="1:11" ht="13.5" customHeight="1">
      <c r="A336" s="1" t="s">
        <v>172</v>
      </c>
      <c r="B336" s="2"/>
      <c r="C336" s="2"/>
      <c r="D336" s="44" t="s">
        <v>404</v>
      </c>
      <c r="E336" s="3"/>
      <c r="F336" s="50"/>
      <c r="G336" s="50"/>
      <c r="H336" s="50">
        <v>0</v>
      </c>
      <c r="I336" s="50">
        <f>H95</f>
        <v>0</v>
      </c>
      <c r="J336" s="50">
        <f>F96</f>
        <v>0</v>
      </c>
      <c r="K336" s="50">
        <f>H96</f>
        <v>0</v>
      </c>
    </row>
    <row r="337" spans="1:11" ht="13.5" customHeight="1">
      <c r="A337" s="12" t="s">
        <v>212</v>
      </c>
      <c r="B337" s="13"/>
      <c r="C337" s="13"/>
      <c r="D337" s="132" t="s">
        <v>262</v>
      </c>
      <c r="E337" s="14"/>
      <c r="F337" s="50"/>
      <c r="G337" s="50"/>
      <c r="H337" s="50">
        <v>0</v>
      </c>
      <c r="I337" s="50">
        <f>F25</f>
        <v>0</v>
      </c>
      <c r="J337" s="50">
        <f>F27</f>
        <v>0</v>
      </c>
      <c r="K337" s="50">
        <v>0</v>
      </c>
    </row>
    <row r="338" spans="1:11" ht="13.5" customHeight="1">
      <c r="A338" s="12" t="s">
        <v>261</v>
      </c>
      <c r="B338" s="13"/>
      <c r="C338" s="13"/>
      <c r="D338" s="132" t="s">
        <v>263</v>
      </c>
      <c r="E338" s="14"/>
      <c r="F338" s="50"/>
      <c r="G338" s="50"/>
      <c r="H338" s="50">
        <v>0</v>
      </c>
      <c r="I338" s="50">
        <f>F26</f>
        <v>0</v>
      </c>
      <c r="J338" s="50">
        <f>F27</f>
        <v>0</v>
      </c>
      <c r="K338" s="50">
        <v>0</v>
      </c>
    </row>
    <row r="339" spans="1:11" ht="13.5" customHeight="1">
      <c r="A339" s="12" t="s">
        <v>210</v>
      </c>
      <c r="B339" s="13"/>
      <c r="C339" s="13"/>
      <c r="D339" s="132" t="s">
        <v>264</v>
      </c>
      <c r="E339" s="14"/>
      <c r="F339" s="50"/>
      <c r="G339" s="50"/>
      <c r="H339" s="50">
        <f>G300</f>
        <v>0</v>
      </c>
      <c r="I339" s="50">
        <v>0</v>
      </c>
      <c r="J339" s="141">
        <f>F6/2</f>
        <v>0.25</v>
      </c>
      <c r="K339" s="50">
        <f>-F30</f>
        <v>0</v>
      </c>
    </row>
    <row r="340" spans="1:11" ht="13.5" customHeight="1">
      <c r="A340" s="18" t="s">
        <v>211</v>
      </c>
      <c r="B340" s="19"/>
      <c r="C340" s="19"/>
      <c r="D340" s="133" t="s">
        <v>265</v>
      </c>
      <c r="E340" s="20"/>
      <c r="F340" s="50"/>
      <c r="G340" s="50"/>
      <c r="H340" s="50">
        <f>H318</f>
        <v>0</v>
      </c>
      <c r="I340" s="50">
        <v>0</v>
      </c>
      <c r="J340" s="141">
        <f>F6/2</f>
        <v>0.25</v>
      </c>
      <c r="K340" s="50">
        <f>-F30</f>
        <v>0</v>
      </c>
    </row>
    <row r="341" ht="19.5" customHeight="1">
      <c r="A341" s="27" t="s">
        <v>306</v>
      </c>
    </row>
    <row r="342" spans="1:11" ht="13.5" customHeight="1">
      <c r="A342" s="9" t="s">
        <v>174</v>
      </c>
      <c r="B342" s="29"/>
      <c r="C342" s="29"/>
      <c r="D342" s="29"/>
      <c r="E342" s="30"/>
      <c r="F342" s="71" t="s">
        <v>175</v>
      </c>
      <c r="G342" s="66" t="s">
        <v>47</v>
      </c>
      <c r="H342" s="66" t="s">
        <v>48</v>
      </c>
      <c r="I342" s="66" t="s">
        <v>49</v>
      </c>
      <c r="J342" s="66" t="s">
        <v>50</v>
      </c>
      <c r="K342" s="66" t="s">
        <v>51</v>
      </c>
    </row>
    <row r="343" spans="1:11" ht="13.5" customHeight="1">
      <c r="A343" s="6"/>
      <c r="B343" s="19"/>
      <c r="C343" s="19"/>
      <c r="D343" s="19"/>
      <c r="E343" s="20"/>
      <c r="F343" s="121"/>
      <c r="G343" s="69"/>
      <c r="H343" s="69" t="s">
        <v>52</v>
      </c>
      <c r="I343" s="69" t="s">
        <v>52</v>
      </c>
      <c r="J343" s="69" t="s">
        <v>53</v>
      </c>
      <c r="K343" s="69" t="s">
        <v>53</v>
      </c>
    </row>
    <row r="344" spans="1:11" ht="13.5" customHeight="1">
      <c r="A344" s="9" t="s">
        <v>320</v>
      </c>
      <c r="B344" s="29"/>
      <c r="C344" s="29"/>
      <c r="D344" s="131" t="s">
        <v>403</v>
      </c>
      <c r="E344" s="30"/>
      <c r="F344" s="50">
        <f>F231</f>
        <v>0</v>
      </c>
      <c r="G344" s="50">
        <f>F109</f>
        <v>1.8</v>
      </c>
      <c r="H344" s="50">
        <f>H127*H154</f>
        <v>4.3198179015468625</v>
      </c>
      <c r="I344" s="50"/>
      <c r="J344" s="50">
        <f>F130</f>
        <v>0</v>
      </c>
      <c r="K344" s="50">
        <f>H130</f>
        <v>1.167032967032967</v>
      </c>
    </row>
    <row r="345" spans="1:11" ht="13.5" customHeight="1">
      <c r="A345" s="1" t="s">
        <v>321</v>
      </c>
      <c r="B345" s="13"/>
      <c r="C345" s="13"/>
      <c r="D345" s="44" t="s">
        <v>388</v>
      </c>
      <c r="E345" s="14"/>
      <c r="F345" s="50">
        <f>F222</f>
        <v>0</v>
      </c>
      <c r="G345" s="50">
        <f>F109</f>
        <v>1.8</v>
      </c>
      <c r="H345" s="50">
        <f>H137*H154</f>
        <v>0.7120578958593728</v>
      </c>
      <c r="I345" s="50"/>
      <c r="J345" s="50">
        <f>F140</f>
        <v>0</v>
      </c>
      <c r="K345" s="50">
        <f>H140</f>
        <v>0.9</v>
      </c>
    </row>
    <row r="346" spans="1:11" ht="13.5" customHeight="1">
      <c r="A346" s="1" t="s">
        <v>320</v>
      </c>
      <c r="B346" s="13"/>
      <c r="C346" s="13"/>
      <c r="D346" s="44" t="s">
        <v>403</v>
      </c>
      <c r="E346" s="14"/>
      <c r="F346" s="50">
        <f>F109</f>
        <v>1.8</v>
      </c>
      <c r="G346" s="50">
        <f>F5</f>
        <v>3</v>
      </c>
      <c r="H346" s="50">
        <f>H177*H204</f>
        <v>5.718876817430908</v>
      </c>
      <c r="I346" s="50"/>
      <c r="J346" s="50">
        <f>F180</f>
        <v>0</v>
      </c>
      <c r="K346" s="50">
        <f>H180</f>
        <v>2.4436363636363634</v>
      </c>
    </row>
    <row r="347" spans="1:11" ht="13.5" customHeight="1">
      <c r="A347" s="1" t="s">
        <v>321</v>
      </c>
      <c r="B347" s="13"/>
      <c r="C347" s="13"/>
      <c r="D347" s="44" t="s">
        <v>388</v>
      </c>
      <c r="E347" s="14"/>
      <c r="F347" s="50">
        <f>F109</f>
        <v>1.8</v>
      </c>
      <c r="G347" s="50">
        <f>F5</f>
        <v>3</v>
      </c>
      <c r="H347" s="50">
        <f>H187*H204</f>
        <v>0.38992341937028924</v>
      </c>
      <c r="I347" s="50"/>
      <c r="J347" s="50">
        <f>F190</f>
        <v>0</v>
      </c>
      <c r="K347" s="50">
        <f>H190</f>
        <v>2.4</v>
      </c>
    </row>
    <row r="348" spans="1:11" ht="13.5" customHeight="1">
      <c r="A348" s="1" t="s">
        <v>171</v>
      </c>
      <c r="B348" s="13"/>
      <c r="C348" s="13"/>
      <c r="D348" s="44" t="s">
        <v>198</v>
      </c>
      <c r="E348" s="14"/>
      <c r="F348" s="50"/>
      <c r="G348" s="50"/>
      <c r="H348" s="50">
        <f>H91*F81</f>
        <v>11.400000000000002</v>
      </c>
      <c r="I348" s="50">
        <f>-H91*F82</f>
        <v>-5.700000000000001</v>
      </c>
      <c r="J348" s="50">
        <f>F92</f>
        <v>0.5409356725146197</v>
      </c>
      <c r="K348" s="50">
        <f>H92</f>
        <v>1.8023391812865495</v>
      </c>
    </row>
    <row r="349" spans="1:11" ht="13.5" customHeight="1">
      <c r="A349" s="1" t="s">
        <v>172</v>
      </c>
      <c r="B349" s="13"/>
      <c r="C349" s="13"/>
      <c r="D349" s="44" t="s">
        <v>404</v>
      </c>
      <c r="E349" s="14"/>
      <c r="F349" s="50"/>
      <c r="G349" s="50"/>
      <c r="H349" s="50">
        <f>H95*F81</f>
        <v>0</v>
      </c>
      <c r="I349" s="50">
        <f>-H95*F82</f>
        <v>0</v>
      </c>
      <c r="J349" s="50">
        <f>F96</f>
        <v>0</v>
      </c>
      <c r="K349" s="50">
        <f>H96</f>
        <v>0</v>
      </c>
    </row>
    <row r="350" spans="1:11" ht="13.5" customHeight="1">
      <c r="A350" s="12" t="s">
        <v>212</v>
      </c>
      <c r="B350" s="13"/>
      <c r="C350" s="13"/>
      <c r="D350" s="132" t="s">
        <v>262</v>
      </c>
      <c r="E350" s="14"/>
      <c r="F350" s="50"/>
      <c r="G350" s="50"/>
      <c r="H350" s="50">
        <f>F25*F81</f>
        <v>0</v>
      </c>
      <c r="I350" s="50">
        <f>-F25*F82</f>
        <v>0</v>
      </c>
      <c r="J350" s="50">
        <f>F27</f>
        <v>0</v>
      </c>
      <c r="K350" s="50">
        <v>0</v>
      </c>
    </row>
    <row r="351" spans="1:11" ht="13.5" customHeight="1">
      <c r="A351" s="18" t="s">
        <v>261</v>
      </c>
      <c r="B351" s="19"/>
      <c r="C351" s="19"/>
      <c r="D351" s="133" t="s">
        <v>263</v>
      </c>
      <c r="E351" s="20"/>
      <c r="F351" s="50"/>
      <c r="G351" s="50"/>
      <c r="H351" s="50">
        <f>F26*F81</f>
        <v>0</v>
      </c>
      <c r="I351" s="50">
        <f>-F26*F82</f>
        <v>0</v>
      </c>
      <c r="J351" s="50">
        <f>F27</f>
        <v>0</v>
      </c>
      <c r="K351" s="50">
        <v>0</v>
      </c>
    </row>
    <row r="352" ht="24.75" customHeight="1">
      <c r="A352" s="127" t="s">
        <v>143</v>
      </c>
    </row>
    <row r="353" spans="1:12" ht="13.5" customHeight="1">
      <c r="A353" s="9" t="s">
        <v>174</v>
      </c>
      <c r="B353" s="29"/>
      <c r="C353" s="29"/>
      <c r="D353" s="29"/>
      <c r="E353" s="30"/>
      <c r="F353" s="66" t="s">
        <v>175</v>
      </c>
      <c r="G353" s="66" t="s">
        <v>47</v>
      </c>
      <c r="H353" s="66" t="s">
        <v>48</v>
      </c>
      <c r="I353" s="66" t="s">
        <v>49</v>
      </c>
      <c r="J353" s="66" t="s">
        <v>267</v>
      </c>
      <c r="K353" s="66" t="s">
        <v>268</v>
      </c>
      <c r="L353" s="122" t="s">
        <v>269</v>
      </c>
    </row>
    <row r="354" spans="1:12" ht="13.5" customHeight="1">
      <c r="A354" s="6"/>
      <c r="B354" s="19"/>
      <c r="C354" s="19"/>
      <c r="D354" s="19"/>
      <c r="E354" s="20"/>
      <c r="F354" s="68"/>
      <c r="G354" s="68"/>
      <c r="H354" s="68" t="s">
        <v>52</v>
      </c>
      <c r="I354" s="68" t="s">
        <v>52</v>
      </c>
      <c r="J354" s="68" t="s">
        <v>53</v>
      </c>
      <c r="K354" s="68" t="s">
        <v>53</v>
      </c>
      <c r="L354" s="123" t="s">
        <v>308</v>
      </c>
    </row>
    <row r="355" spans="1:12" ht="13.5" customHeight="1">
      <c r="A355" s="9" t="s">
        <v>320</v>
      </c>
      <c r="B355" s="10"/>
      <c r="C355" s="10"/>
      <c r="D355" s="10" t="s">
        <v>394</v>
      </c>
      <c r="E355" s="11"/>
      <c r="F355" s="50">
        <f>F231</f>
        <v>0</v>
      </c>
      <c r="G355" s="50">
        <f>F109</f>
        <v>1.8</v>
      </c>
      <c r="H355" s="50">
        <f>H330+H344</f>
        <v>12.874765232327974</v>
      </c>
      <c r="I355" s="50">
        <f>I330</f>
        <v>2.2922912285735872</v>
      </c>
      <c r="J355" s="50">
        <f>F131</f>
        <v>1.5</v>
      </c>
      <c r="K355" s="50">
        <f>H131</f>
        <v>1.832967032967033</v>
      </c>
      <c r="L355" s="50">
        <f>H355*K355-I355*J355</f>
        <v>20.16058338518694</v>
      </c>
    </row>
    <row r="356" spans="1:12" ht="13.5" customHeight="1">
      <c r="A356" s="1" t="s">
        <v>321</v>
      </c>
      <c r="B356" s="2"/>
      <c r="C356" s="2"/>
      <c r="D356" s="2" t="s">
        <v>395</v>
      </c>
      <c r="E356" s="3"/>
      <c r="F356" s="50">
        <f>F232</f>
        <v>0</v>
      </c>
      <c r="G356" s="50">
        <f>F109</f>
        <v>1.8</v>
      </c>
      <c r="H356" s="50">
        <f>H331+H345</f>
        <v>2.1222140492848305</v>
      </c>
      <c r="I356" s="50">
        <f>I331</f>
        <v>0.3778502025121297</v>
      </c>
      <c r="J356" s="50">
        <f>F141</f>
        <v>1.5</v>
      </c>
      <c r="K356" s="50">
        <f>H141</f>
        <v>2.1</v>
      </c>
      <c r="L356" s="50">
        <f>H356*K356-I356*J356</f>
        <v>3.8898741997299497</v>
      </c>
    </row>
    <row r="357" spans="1:12" ht="13.5" customHeight="1">
      <c r="A357" s="1" t="s">
        <v>320</v>
      </c>
      <c r="B357" s="2"/>
      <c r="C357" s="2"/>
      <c r="D357" s="2" t="s">
        <v>394</v>
      </c>
      <c r="E357" s="3"/>
      <c r="F357" s="50">
        <f>F109</f>
        <v>1.8</v>
      </c>
      <c r="G357" s="50">
        <f>F5</f>
        <v>3</v>
      </c>
      <c r="H357" s="50">
        <f>H332+H346</f>
        <v>18.06321571128607</v>
      </c>
      <c r="I357" s="50">
        <f>I332</f>
        <v>3.8921551027442636</v>
      </c>
      <c r="J357" s="50">
        <f>F181</f>
        <v>1.5</v>
      </c>
      <c r="K357" s="50">
        <f>H181</f>
        <v>0.5563636363636366</v>
      </c>
      <c r="L357" s="50">
        <f>H357*K357-I357*J357</f>
        <v>4.211483723435495</v>
      </c>
    </row>
    <row r="358" spans="1:12" ht="13.5" customHeight="1">
      <c r="A358" s="1" t="s">
        <v>321</v>
      </c>
      <c r="B358" s="2"/>
      <c r="C358" s="2"/>
      <c r="D358" s="2" t="s">
        <v>395</v>
      </c>
      <c r="E358" s="3"/>
      <c r="F358" s="50">
        <f>F109</f>
        <v>1.8</v>
      </c>
      <c r="G358" s="50">
        <f>F5</f>
        <v>3</v>
      </c>
      <c r="H358" s="50">
        <f>H333+H347</f>
        <v>1.2315828894058687</v>
      </c>
      <c r="I358" s="50">
        <f>I333</f>
        <v>0.2653742115507453</v>
      </c>
      <c r="J358" s="50">
        <f>F191</f>
        <v>1.5</v>
      </c>
      <c r="K358" s="50">
        <f>H191</f>
        <v>0.6000000000000001</v>
      </c>
      <c r="L358" s="50">
        <f>H358*K358-I358*J358</f>
        <v>0.3408884163174034</v>
      </c>
    </row>
    <row r="359" spans="1:12" ht="13.5" customHeight="1">
      <c r="A359" s="1" t="s">
        <v>171</v>
      </c>
      <c r="B359" s="2"/>
      <c r="C359" s="2"/>
      <c r="D359" s="2" t="s">
        <v>82</v>
      </c>
      <c r="E359" s="14"/>
      <c r="F359" s="51"/>
      <c r="G359" s="50"/>
      <c r="H359" s="50">
        <f>H348</f>
        <v>11.400000000000002</v>
      </c>
      <c r="I359" s="50">
        <f>I335+I348</f>
        <v>65.55000000000001</v>
      </c>
      <c r="J359" s="50">
        <f>F93</f>
        <v>0.9590643274853803</v>
      </c>
      <c r="K359" s="50">
        <f>H93</f>
        <v>1.1976608187134505</v>
      </c>
      <c r="L359" s="50">
        <f aca="true" t="shared" si="6" ref="L359:L364">H359*K359-I359*J359</f>
        <v>-49.21333333333335</v>
      </c>
    </row>
    <row r="360" spans="1:12" ht="13.5" customHeight="1">
      <c r="A360" s="1" t="s">
        <v>172</v>
      </c>
      <c r="B360" s="2"/>
      <c r="C360" s="2"/>
      <c r="D360" s="2" t="s">
        <v>272</v>
      </c>
      <c r="E360" s="14"/>
      <c r="F360" s="51"/>
      <c r="G360" s="50"/>
      <c r="H360" s="50">
        <f>H349</f>
        <v>0</v>
      </c>
      <c r="I360" s="50">
        <f>H95+I349</f>
        <v>0</v>
      </c>
      <c r="J360" s="50">
        <f>F97</f>
        <v>1.5</v>
      </c>
      <c r="K360" s="50">
        <f>H97</f>
        <v>3</v>
      </c>
      <c r="L360" s="50">
        <f t="shared" si="6"/>
        <v>0</v>
      </c>
    </row>
    <row r="361" spans="1:12" ht="13.5" customHeight="1">
      <c r="A361" s="12" t="s">
        <v>212</v>
      </c>
      <c r="B361" s="13"/>
      <c r="C361" s="13"/>
      <c r="D361" s="13" t="s">
        <v>84</v>
      </c>
      <c r="E361" s="14"/>
      <c r="F361" s="51"/>
      <c r="G361" s="50"/>
      <c r="H361" s="50">
        <f>H350</f>
        <v>0</v>
      </c>
      <c r="I361" s="50">
        <f>I337+I350</f>
        <v>0</v>
      </c>
      <c r="J361" s="50">
        <f>F6+F7+F9-F27</f>
        <v>1.5</v>
      </c>
      <c r="K361" s="50">
        <f>F5</f>
        <v>3</v>
      </c>
      <c r="L361" s="50">
        <f t="shared" si="6"/>
        <v>0</v>
      </c>
    </row>
    <row r="362" spans="1:12" ht="13.5" customHeight="1">
      <c r="A362" s="12" t="s">
        <v>261</v>
      </c>
      <c r="B362" s="13"/>
      <c r="C362" s="13"/>
      <c r="D362" s="13" t="s">
        <v>273</v>
      </c>
      <c r="E362" s="14"/>
      <c r="F362" s="51"/>
      <c r="G362" s="50"/>
      <c r="H362" s="50">
        <f>H351</f>
        <v>0</v>
      </c>
      <c r="I362" s="50">
        <f>I338+I351</f>
        <v>0</v>
      </c>
      <c r="J362" s="50">
        <f>F6+F7+F9-F27</f>
        <v>1.5</v>
      </c>
      <c r="K362" s="50">
        <f>F5</f>
        <v>3</v>
      </c>
      <c r="L362" s="50">
        <f t="shared" si="6"/>
        <v>0</v>
      </c>
    </row>
    <row r="363" spans="1:12" ht="13.5" customHeight="1">
      <c r="A363" s="12" t="s">
        <v>210</v>
      </c>
      <c r="B363" s="13"/>
      <c r="C363" s="13"/>
      <c r="D363" s="13" t="s">
        <v>274</v>
      </c>
      <c r="E363" s="14"/>
      <c r="F363" s="51"/>
      <c r="G363" s="50"/>
      <c r="H363" s="50">
        <f>H339</f>
        <v>0</v>
      </c>
      <c r="I363" s="50">
        <v>0</v>
      </c>
      <c r="J363" s="50">
        <f>F6+F7+F9-F27</f>
        <v>1.5</v>
      </c>
      <c r="K363" s="50">
        <f>F5+F30</f>
        <v>3</v>
      </c>
      <c r="L363" s="50">
        <f t="shared" si="6"/>
        <v>0</v>
      </c>
    </row>
    <row r="364" spans="1:12" ht="13.5" customHeight="1">
      <c r="A364" s="12" t="s">
        <v>211</v>
      </c>
      <c r="B364" s="13"/>
      <c r="C364" s="13"/>
      <c r="D364" s="13" t="s">
        <v>275</v>
      </c>
      <c r="E364" s="14"/>
      <c r="F364" s="122"/>
      <c r="G364" s="106"/>
      <c r="H364" s="106">
        <f>H340</f>
        <v>0</v>
      </c>
      <c r="I364" s="50">
        <v>0</v>
      </c>
      <c r="J364" s="50">
        <f>F6+F7+F9-F27</f>
        <v>1.5</v>
      </c>
      <c r="K364" s="50">
        <f>F5+F30</f>
        <v>3</v>
      </c>
      <c r="L364" s="50">
        <f t="shared" si="6"/>
        <v>0</v>
      </c>
    </row>
    <row r="365" spans="1:12" ht="13.5" customHeight="1">
      <c r="A365" s="18"/>
      <c r="B365" s="19"/>
      <c r="C365" s="19"/>
      <c r="D365" s="19"/>
      <c r="E365" s="19"/>
      <c r="F365" s="76" t="s">
        <v>333</v>
      </c>
      <c r="G365" s="55"/>
      <c r="H365" s="124"/>
      <c r="I365" s="50">
        <f>SUM(I355:I364)</f>
        <v>72.37767074538074</v>
      </c>
      <c r="J365" s="51"/>
      <c r="K365" s="51"/>
      <c r="L365" s="50">
        <f>SUM(L355:L364)</f>
        <v>-20.610503608663564</v>
      </c>
    </row>
    <row r="366" spans="1:12" ht="19.5" customHeight="1">
      <c r="A366" s="28" t="s">
        <v>393</v>
      </c>
      <c r="B366" s="29"/>
      <c r="C366" s="29"/>
      <c r="D366" s="29"/>
      <c r="E366" s="30"/>
      <c r="F366" s="79" t="s">
        <v>185</v>
      </c>
      <c r="G366" s="78">
        <f>I365</f>
        <v>72.37767074538074</v>
      </c>
      <c r="H366" s="40" t="s">
        <v>186</v>
      </c>
      <c r="J366" s="222" t="s">
        <v>303</v>
      </c>
      <c r="K366" s="223"/>
      <c r="L366" s="224"/>
    </row>
    <row r="367" spans="1:12" ht="13.5" customHeight="1">
      <c r="A367" s="12" t="s">
        <v>358</v>
      </c>
      <c r="B367" s="13"/>
      <c r="C367" s="13"/>
      <c r="D367" s="13"/>
      <c r="E367" s="14"/>
      <c r="F367" s="79" t="s">
        <v>33</v>
      </c>
      <c r="G367" s="80">
        <f>L365</f>
        <v>-20.610503608663564</v>
      </c>
      <c r="H367" s="40" t="s">
        <v>34</v>
      </c>
      <c r="J367" s="28"/>
      <c r="K367" s="29"/>
      <c r="L367" s="30"/>
    </row>
    <row r="368" spans="1:12" ht="13.5" customHeight="1">
      <c r="A368" s="12" t="s">
        <v>309</v>
      </c>
      <c r="B368" s="13"/>
      <c r="C368" s="13"/>
      <c r="D368" s="13"/>
      <c r="E368" s="14"/>
      <c r="F368" s="79" t="s">
        <v>35</v>
      </c>
      <c r="G368" s="80">
        <f>H355*K355+H356*K356+H357*K357+H358*K358+H359*K359+H360*K360+H361*K361+H362*K362+H363*K363+H364*K364+I355*(F17/2-J355)+I356*(F17/2-J356)+I357*(F17/2-J357)+I358*(F17/2-J358)+I359*(F17/2-J359)+I360*(F17/2-J360)+I361*(F17/2-J361)+I362*(F17/2-J362)+I363*(F17/2-J363)+I364*(F17/2-J364)</f>
        <v>33.67274945037198</v>
      </c>
      <c r="H368" s="40" t="s">
        <v>34</v>
      </c>
      <c r="J368" s="12"/>
      <c r="K368" s="13"/>
      <c r="L368" s="14"/>
    </row>
    <row r="369" spans="1:12" ht="13.5" customHeight="1">
      <c r="A369" s="12" t="s">
        <v>360</v>
      </c>
      <c r="B369" s="13"/>
      <c r="C369" s="13"/>
      <c r="D369" s="13"/>
      <c r="E369" s="14"/>
      <c r="F369" s="79" t="s">
        <v>36</v>
      </c>
      <c r="G369" s="81">
        <f>G368/G366</f>
        <v>0.46523671048810356</v>
      </c>
      <c r="H369" s="82" t="str">
        <f>IF(G369&lt;I369,"&lt;","&gt;")</f>
        <v>&gt;</v>
      </c>
      <c r="I369" s="206">
        <f>F17/6</f>
        <v>0.25</v>
      </c>
      <c r="J369" s="12"/>
      <c r="K369" s="13"/>
      <c r="L369" s="14"/>
    </row>
    <row r="370" spans="1:12" ht="13.5" customHeight="1">
      <c r="A370" s="1" t="s">
        <v>245</v>
      </c>
      <c r="B370" s="13"/>
      <c r="C370" s="13"/>
      <c r="D370" s="13"/>
      <c r="E370" s="14"/>
      <c r="F370" s="79" t="s">
        <v>37</v>
      </c>
      <c r="G370" s="140">
        <f>IF(G369&gt;I369,2*G366/(3*(F17/2-G369)*1000),IF(G369=I369,2*G366/F17,G366/F17*(1+6*G369/F17)/1000))</f>
        <v>0.1694452279281761</v>
      </c>
      <c r="H370" s="40" t="s">
        <v>38</v>
      </c>
      <c r="I370" s="122" t="s">
        <v>222</v>
      </c>
      <c r="J370" s="13"/>
      <c r="K370" s="13"/>
      <c r="L370" s="14"/>
    </row>
    <row r="371" spans="1:12" ht="13.5" customHeight="1">
      <c r="A371" s="1" t="s">
        <v>246</v>
      </c>
      <c r="B371" s="13"/>
      <c r="C371" s="13"/>
      <c r="D371" s="13"/>
      <c r="E371" s="14"/>
      <c r="F371" s="79" t="s">
        <v>39</v>
      </c>
      <c r="G371" s="140">
        <f>IF(G369&lt;I369,G366/F17*(1-6*G369/F17)/1000,IF(G369=I369,0,G366/F17*(1-6*G369/F17)/1000))</f>
        <v>-0.0415422180374048</v>
      </c>
      <c r="H371" s="40" t="s">
        <v>40</v>
      </c>
      <c r="I371" s="192">
        <f>IF(G369&lt;=I369,F17,3*(F17/2-G369))</f>
        <v>0.8542898685356893</v>
      </c>
      <c r="J371" s="13"/>
      <c r="K371" s="13"/>
      <c r="L371" s="14"/>
    </row>
    <row r="372" spans="1:12" ht="13.5" customHeight="1">
      <c r="A372" s="1" t="s">
        <v>247</v>
      </c>
      <c r="B372" s="13"/>
      <c r="C372" s="13"/>
      <c r="D372" s="13"/>
      <c r="E372" s="14"/>
      <c r="F372" s="79" t="s">
        <v>41</v>
      </c>
      <c r="G372" s="78">
        <f>F17-ABS(2*G369)</f>
        <v>0.5695265790237929</v>
      </c>
      <c r="H372" s="40" t="s">
        <v>42</v>
      </c>
      <c r="J372" s="12"/>
      <c r="K372" s="13"/>
      <c r="L372" s="14"/>
    </row>
    <row r="373" spans="1:12" ht="13.5" customHeight="1">
      <c r="A373" s="6" t="s">
        <v>248</v>
      </c>
      <c r="B373" s="19"/>
      <c r="C373" s="19"/>
      <c r="D373" s="19"/>
      <c r="E373" s="20"/>
      <c r="F373" s="4" t="s">
        <v>43</v>
      </c>
      <c r="G373" s="80">
        <f>G372*1000*L73/1</f>
        <v>113.90531580475859</v>
      </c>
      <c r="H373" s="40" t="s">
        <v>186</v>
      </c>
      <c r="J373" s="12"/>
      <c r="K373" s="13"/>
      <c r="L373" s="14"/>
    </row>
    <row r="374" spans="1:12" ht="19.5" customHeight="1">
      <c r="A374" s="90" t="s">
        <v>44</v>
      </c>
      <c r="B374" s="93"/>
      <c r="C374" s="93"/>
      <c r="D374" s="93"/>
      <c r="E374" s="94"/>
      <c r="F374" s="87" t="str">
        <f>IF(G373&gt;G366,"ΦEPOYΣA IKANOTHTA EΔAΦOYΣ KAΛH  ( αφού Rd &gt; Vd)","***  AΛΛAΓH ΔIATOMHΣ  *** ( αφού Rd &lt; Vd) ")</f>
        <v>ΦEPOYΣA IKANOTHTA EΔAΦOYΣ KAΛH  ( αφού Rd &gt; Vd)</v>
      </c>
      <c r="G374" s="95"/>
      <c r="H374" s="95"/>
      <c r="I374" s="95"/>
      <c r="J374" s="95"/>
      <c r="K374" s="95"/>
      <c r="L374" s="96"/>
    </row>
    <row r="375" ht="60" customHeight="1">
      <c r="A375" s="127" t="s">
        <v>144</v>
      </c>
    </row>
    <row r="376" spans="1:12" ht="15.75" customHeight="1">
      <c r="A376" s="28" t="s">
        <v>235</v>
      </c>
      <c r="B376" s="29"/>
      <c r="C376" s="29"/>
      <c r="D376" s="29"/>
      <c r="E376" s="29"/>
      <c r="F376" s="29"/>
      <c r="G376" s="29"/>
      <c r="H376" s="30"/>
      <c r="I376" s="49" t="s">
        <v>74</v>
      </c>
      <c r="J376" s="50">
        <f>F6+F7+F9</f>
        <v>1.5</v>
      </c>
      <c r="K376" s="49" t="s">
        <v>75</v>
      </c>
      <c r="L376" s="50">
        <f>F5</f>
        <v>3</v>
      </c>
    </row>
    <row r="377" spans="1:12" ht="13.5" customHeight="1">
      <c r="A377" s="18"/>
      <c r="B377" s="19"/>
      <c r="C377" s="19"/>
      <c r="D377" s="19"/>
      <c r="E377" s="19"/>
      <c r="F377" s="19"/>
      <c r="G377" s="19"/>
      <c r="H377" s="20"/>
      <c r="I377" s="49" t="s">
        <v>76</v>
      </c>
      <c r="J377" s="50">
        <v>0</v>
      </c>
      <c r="K377" s="49" t="s">
        <v>77</v>
      </c>
      <c r="L377" s="50">
        <v>0</v>
      </c>
    </row>
    <row r="378" spans="1:12" ht="13.5" customHeight="1">
      <c r="A378" s="9" t="s">
        <v>174</v>
      </c>
      <c r="B378" s="29"/>
      <c r="C378" s="29"/>
      <c r="D378" s="30"/>
      <c r="E378" s="66" t="s">
        <v>175</v>
      </c>
      <c r="F378" s="66" t="s">
        <v>47</v>
      </c>
      <c r="G378" s="66" t="s">
        <v>48</v>
      </c>
      <c r="H378" s="66" t="s">
        <v>49</v>
      </c>
      <c r="I378" s="66" t="s">
        <v>267</v>
      </c>
      <c r="J378" s="66" t="s">
        <v>268</v>
      </c>
      <c r="K378" s="122" t="s">
        <v>276</v>
      </c>
      <c r="L378" s="122" t="s">
        <v>277</v>
      </c>
    </row>
    <row r="379" spans="1:12" ht="13.5" customHeight="1">
      <c r="A379" s="1"/>
      <c r="B379" s="13"/>
      <c r="C379" s="13"/>
      <c r="D379" s="14"/>
      <c r="E379" s="69"/>
      <c r="F379" s="69"/>
      <c r="G379" s="69" t="s">
        <v>52</v>
      </c>
      <c r="H379" s="69" t="s">
        <v>52</v>
      </c>
      <c r="I379" s="69" t="s">
        <v>53</v>
      </c>
      <c r="J379" s="69" t="s">
        <v>53</v>
      </c>
      <c r="K379" s="125" t="s">
        <v>308</v>
      </c>
      <c r="L379" s="125" t="s">
        <v>308</v>
      </c>
    </row>
    <row r="380" spans="1:12" ht="13.5" customHeight="1">
      <c r="A380" s="9" t="s">
        <v>320</v>
      </c>
      <c r="B380" s="10"/>
      <c r="C380" s="10"/>
      <c r="D380" s="11" t="s">
        <v>394</v>
      </c>
      <c r="E380" s="92">
        <f>F231</f>
        <v>0</v>
      </c>
      <c r="F380" s="50">
        <f>F109</f>
        <v>1.8</v>
      </c>
      <c r="G380" s="50">
        <f>H330+H344</f>
        <v>12.874765232327974</v>
      </c>
      <c r="H380" s="50">
        <f>I330</f>
        <v>2.2922912285735872</v>
      </c>
      <c r="I380" s="50">
        <f>F131</f>
        <v>1.5</v>
      </c>
      <c r="J380" s="50">
        <f>H131</f>
        <v>1.832967032967033</v>
      </c>
      <c r="K380" s="50">
        <f aca="true" t="shared" si="7" ref="K380:K387">G380*J380+ABS(I344)*I380</f>
        <v>23.59902022804732</v>
      </c>
      <c r="L380" s="50">
        <f aca="true" t="shared" si="8" ref="L380:L387">H380*I380+ABS(I344)*I380</f>
        <v>3.438436842860381</v>
      </c>
    </row>
    <row r="381" spans="1:12" ht="13.5" customHeight="1">
      <c r="A381" s="1" t="s">
        <v>321</v>
      </c>
      <c r="B381" s="2"/>
      <c r="C381" s="2"/>
      <c r="D381" s="3" t="s">
        <v>395</v>
      </c>
      <c r="E381" s="92">
        <f>F231</f>
        <v>0</v>
      </c>
      <c r="F381" s="50">
        <f>F109</f>
        <v>1.8</v>
      </c>
      <c r="G381" s="50">
        <f>H331+H345</f>
        <v>2.1222140492848305</v>
      </c>
      <c r="H381" s="50">
        <f>I331</f>
        <v>0.3778502025121297</v>
      </c>
      <c r="I381" s="50">
        <f>F6+F7+F9-F140</f>
        <v>1.5</v>
      </c>
      <c r="J381" s="50">
        <f>F5-H140</f>
        <v>2.1</v>
      </c>
      <c r="K381" s="50">
        <f t="shared" si="7"/>
        <v>4.456649503498144</v>
      </c>
      <c r="L381" s="50">
        <f t="shared" si="8"/>
        <v>0.5667753037681945</v>
      </c>
    </row>
    <row r="382" spans="1:12" ht="13.5" customHeight="1">
      <c r="A382" s="1" t="s">
        <v>320</v>
      </c>
      <c r="B382" s="2"/>
      <c r="C382" s="2"/>
      <c r="D382" s="3" t="s">
        <v>394</v>
      </c>
      <c r="E382" s="92">
        <f>F109</f>
        <v>1.8</v>
      </c>
      <c r="F382" s="50">
        <f>F5</f>
        <v>3</v>
      </c>
      <c r="G382" s="50">
        <f>H332+H346</f>
        <v>18.06321571128607</v>
      </c>
      <c r="H382" s="50">
        <f>I332</f>
        <v>3.8921551027442636</v>
      </c>
      <c r="I382" s="50">
        <f>F181</f>
        <v>1.5</v>
      </c>
      <c r="J382" s="50">
        <f>H181</f>
        <v>0.5563636363636366</v>
      </c>
      <c r="K382" s="50">
        <f t="shared" si="7"/>
        <v>10.04971637755189</v>
      </c>
      <c r="L382" s="50">
        <f t="shared" si="8"/>
        <v>5.838232654116395</v>
      </c>
    </row>
    <row r="383" spans="1:12" ht="13.5" customHeight="1">
      <c r="A383" s="1" t="s">
        <v>321</v>
      </c>
      <c r="B383" s="2"/>
      <c r="C383" s="2"/>
      <c r="D383" s="3" t="s">
        <v>395</v>
      </c>
      <c r="E383" s="92">
        <f>F109</f>
        <v>1.8</v>
      </c>
      <c r="F383" s="50">
        <f>F5</f>
        <v>3</v>
      </c>
      <c r="G383" s="50">
        <f>H333+H347</f>
        <v>1.2315828894058687</v>
      </c>
      <c r="H383" s="50">
        <f>I333</f>
        <v>0.2653742115507453</v>
      </c>
      <c r="I383" s="50">
        <f>F191</f>
        <v>1.5</v>
      </c>
      <c r="J383" s="50">
        <f>H191</f>
        <v>0.6000000000000001</v>
      </c>
      <c r="K383" s="50">
        <f t="shared" si="7"/>
        <v>0.7389497336435213</v>
      </c>
      <c r="L383" s="50">
        <f t="shared" si="8"/>
        <v>0.39806131732611794</v>
      </c>
    </row>
    <row r="384" spans="1:12" ht="13.5" customHeight="1">
      <c r="A384" s="1" t="s">
        <v>171</v>
      </c>
      <c r="B384" s="2"/>
      <c r="C384" s="2"/>
      <c r="D384" s="3" t="s">
        <v>82</v>
      </c>
      <c r="E384" s="92"/>
      <c r="F384" s="50"/>
      <c r="G384" s="50">
        <f>H348</f>
        <v>11.400000000000002</v>
      </c>
      <c r="H384" s="50">
        <f>I335+I348</f>
        <v>65.55000000000001</v>
      </c>
      <c r="I384" s="50">
        <f>F93</f>
        <v>0.9590643274853803</v>
      </c>
      <c r="J384" s="50">
        <f>H93</f>
        <v>1.1976608187134505</v>
      </c>
      <c r="K384" s="126">
        <f t="shared" si="7"/>
        <v>19.120000000000008</v>
      </c>
      <c r="L384" s="50">
        <f t="shared" si="8"/>
        <v>68.33333333333336</v>
      </c>
    </row>
    <row r="385" spans="1:12" ht="13.5" customHeight="1">
      <c r="A385" s="1" t="s">
        <v>172</v>
      </c>
      <c r="B385" s="2"/>
      <c r="C385" s="2"/>
      <c r="D385" s="3" t="s">
        <v>278</v>
      </c>
      <c r="E385" s="92"/>
      <c r="F385" s="50"/>
      <c r="G385" s="50">
        <f>H349</f>
        <v>0</v>
      </c>
      <c r="H385" s="50">
        <f>I336+I349</f>
        <v>0</v>
      </c>
      <c r="I385" s="50">
        <f>F97</f>
        <v>1.5</v>
      </c>
      <c r="J385" s="50">
        <f>H97</f>
        <v>3</v>
      </c>
      <c r="K385" s="126">
        <f t="shared" si="7"/>
        <v>0</v>
      </c>
      <c r="L385" s="50">
        <f t="shared" si="8"/>
        <v>0</v>
      </c>
    </row>
    <row r="386" spans="1:12" ht="13.5" customHeight="1">
      <c r="A386" s="12" t="s">
        <v>212</v>
      </c>
      <c r="B386" s="13"/>
      <c r="C386" s="13"/>
      <c r="D386" s="14" t="s">
        <v>84</v>
      </c>
      <c r="E386" s="92"/>
      <c r="F386" s="50"/>
      <c r="G386" s="50">
        <f>H350</f>
        <v>0</v>
      </c>
      <c r="H386" s="50">
        <f>I337+I350</f>
        <v>0</v>
      </c>
      <c r="I386" s="50">
        <f>F6+F7+F9-F27</f>
        <v>1.5</v>
      </c>
      <c r="J386" s="50">
        <f>F5</f>
        <v>3</v>
      </c>
      <c r="K386" s="126">
        <f t="shared" si="7"/>
        <v>0</v>
      </c>
      <c r="L386" s="126">
        <f t="shared" si="8"/>
        <v>0</v>
      </c>
    </row>
    <row r="387" spans="1:12" ht="13.5" customHeight="1">
      <c r="A387" s="12" t="s">
        <v>261</v>
      </c>
      <c r="B387" s="13"/>
      <c r="C387" s="13"/>
      <c r="D387" s="14" t="s">
        <v>273</v>
      </c>
      <c r="E387" s="92"/>
      <c r="F387" s="50"/>
      <c r="G387" s="50">
        <f>H351</f>
        <v>0</v>
      </c>
      <c r="H387" s="50">
        <f>I338+I351</f>
        <v>0</v>
      </c>
      <c r="I387" s="50">
        <f>F6+F7+F9-F27</f>
        <v>1.5</v>
      </c>
      <c r="J387" s="50">
        <f>F5</f>
        <v>3</v>
      </c>
      <c r="K387" s="126">
        <f t="shared" si="7"/>
        <v>0</v>
      </c>
      <c r="L387" s="126">
        <f t="shared" si="8"/>
        <v>0</v>
      </c>
    </row>
    <row r="388" spans="1:12" ht="13.5" customHeight="1">
      <c r="A388" s="12" t="s">
        <v>210</v>
      </c>
      <c r="B388" s="13"/>
      <c r="C388" s="13"/>
      <c r="D388" s="14" t="s">
        <v>274</v>
      </c>
      <c r="E388" s="92"/>
      <c r="F388" s="50"/>
      <c r="G388" s="50">
        <f>H339</f>
        <v>0</v>
      </c>
      <c r="H388" s="50">
        <v>0</v>
      </c>
      <c r="I388" s="50">
        <f>F6+F7+F9-F27</f>
        <v>1.5</v>
      </c>
      <c r="J388" s="50">
        <f>F5+F30</f>
        <v>3</v>
      </c>
      <c r="K388" s="50">
        <f>G388*J388</f>
        <v>0</v>
      </c>
      <c r="L388" s="50">
        <f>H388*I388</f>
        <v>0</v>
      </c>
    </row>
    <row r="389" spans="1:12" ht="13.5" customHeight="1">
      <c r="A389" s="12" t="s">
        <v>211</v>
      </c>
      <c r="B389" s="13"/>
      <c r="C389" s="13"/>
      <c r="D389" s="14" t="s">
        <v>275</v>
      </c>
      <c r="E389" s="92"/>
      <c r="F389" s="50"/>
      <c r="G389" s="50">
        <f>H340</f>
        <v>0</v>
      </c>
      <c r="H389" s="50">
        <v>0</v>
      </c>
      <c r="I389" s="50">
        <f>F6+F7+F9-F27</f>
        <v>1.5</v>
      </c>
      <c r="J389" s="50">
        <f>F5+F30</f>
        <v>3</v>
      </c>
      <c r="K389" s="50">
        <f>G389*J389</f>
        <v>0</v>
      </c>
      <c r="L389" s="50">
        <f>H389*I389</f>
        <v>0</v>
      </c>
    </row>
    <row r="390" spans="1:12" ht="13.5" customHeight="1">
      <c r="A390" s="18"/>
      <c r="B390" s="19"/>
      <c r="C390" s="19"/>
      <c r="D390" s="20"/>
      <c r="E390" s="76" t="s">
        <v>333</v>
      </c>
      <c r="F390" s="55"/>
      <c r="G390" s="55"/>
      <c r="H390" s="55"/>
      <c r="I390" s="55"/>
      <c r="J390" s="56"/>
      <c r="K390" s="50">
        <f>SUM(K380:K389)</f>
        <v>57.96433584274088</v>
      </c>
      <c r="L390" s="63">
        <f>SUM(L380:L389)</f>
        <v>78.57483945140444</v>
      </c>
    </row>
    <row r="391" ht="13.5" customHeight="1">
      <c r="A391" t="s">
        <v>411</v>
      </c>
    </row>
    <row r="392" spans="1:8" ht="22.5" customHeight="1">
      <c r="A392" s="28" t="s">
        <v>294</v>
      </c>
      <c r="B392" s="29"/>
      <c r="C392" s="29"/>
      <c r="D392" s="29"/>
      <c r="E392" s="30"/>
      <c r="F392" s="70" t="s">
        <v>3</v>
      </c>
      <c r="G392" s="107">
        <f>K390</f>
        <v>57.96433584274088</v>
      </c>
      <c r="H392" s="40" t="s">
        <v>34</v>
      </c>
    </row>
    <row r="393" spans="1:8" ht="13.5" customHeight="1">
      <c r="A393" s="18" t="s">
        <v>170</v>
      </c>
      <c r="B393" s="19"/>
      <c r="C393" s="19"/>
      <c r="D393" s="19"/>
      <c r="E393" s="20"/>
      <c r="F393" s="105" t="s">
        <v>4</v>
      </c>
      <c r="G393" s="109">
        <f>L390</f>
        <v>78.57483945140444</v>
      </c>
      <c r="H393" s="11" t="s">
        <v>34</v>
      </c>
    </row>
    <row r="394" spans="1:12" ht="19.5" customHeight="1">
      <c r="A394" s="90" t="s">
        <v>295</v>
      </c>
      <c r="B394" s="112"/>
      <c r="C394" s="112"/>
      <c r="D394" s="112"/>
      <c r="E394" s="113"/>
      <c r="F394" s="87" t="str">
        <f>IF(G392&lt;=G393,"EΛEΓXOΣ ΣE ANATP. (ME ΣEIΣMO) ENTAΞEI ( αφού Msd &lt; Mrd )","***  AΛΛAΓH ΔIATOMHΣ  ***")</f>
        <v>EΛEΓXOΣ ΣE ANATP. (ME ΣEIΣMO) ENTAΞEI ( αφού Msd &lt; Mrd )</v>
      </c>
      <c r="G394" s="95"/>
      <c r="H394" s="95"/>
      <c r="I394" s="95"/>
      <c r="J394" s="95"/>
      <c r="K394" s="95"/>
      <c r="L394" s="96"/>
    </row>
    <row r="395" ht="60" customHeight="1">
      <c r="A395" s="127" t="s">
        <v>145</v>
      </c>
    </row>
    <row r="396" spans="1:10" ht="13.5" customHeight="1">
      <c r="A396" s="9" t="s">
        <v>174</v>
      </c>
      <c r="B396" s="29"/>
      <c r="C396" s="29"/>
      <c r="D396" s="29"/>
      <c r="E396" s="30"/>
      <c r="F396" s="71" t="s">
        <v>175</v>
      </c>
      <c r="G396" s="66" t="s">
        <v>47</v>
      </c>
      <c r="H396" s="66" t="s">
        <v>6</v>
      </c>
      <c r="I396" s="66" t="s">
        <v>304</v>
      </c>
      <c r="J396" s="66" t="s">
        <v>49</v>
      </c>
    </row>
    <row r="397" spans="1:10" ht="13.5" customHeight="1">
      <c r="A397" s="1"/>
      <c r="B397" s="13"/>
      <c r="C397" s="13"/>
      <c r="D397" s="13"/>
      <c r="E397" s="14"/>
      <c r="F397" s="121"/>
      <c r="G397" s="69"/>
      <c r="H397" s="69" t="s">
        <v>52</v>
      </c>
      <c r="I397" s="69" t="s">
        <v>52</v>
      </c>
      <c r="J397" s="69" t="s">
        <v>52</v>
      </c>
    </row>
    <row r="398" spans="1:10" ht="13.5" customHeight="1">
      <c r="A398" s="9" t="s">
        <v>320</v>
      </c>
      <c r="B398" s="10"/>
      <c r="C398" s="10"/>
      <c r="D398" s="10" t="s">
        <v>394</v>
      </c>
      <c r="E398" s="30"/>
      <c r="F398" s="92">
        <f>F251</f>
        <v>0</v>
      </c>
      <c r="G398" s="50">
        <f>F109</f>
        <v>1.8</v>
      </c>
      <c r="H398" s="50">
        <f>H355</f>
        <v>12.874765232327974</v>
      </c>
      <c r="I398" s="50">
        <v>0</v>
      </c>
      <c r="J398" s="50">
        <f>H128</f>
        <v>2.2922912285735872</v>
      </c>
    </row>
    <row r="399" spans="1:10" ht="13.5" customHeight="1">
      <c r="A399" s="1" t="s">
        <v>321</v>
      </c>
      <c r="B399" s="2"/>
      <c r="C399" s="2"/>
      <c r="D399" s="2" t="s">
        <v>395</v>
      </c>
      <c r="E399" s="14"/>
      <c r="F399" s="92">
        <f>F251</f>
        <v>0</v>
      </c>
      <c r="G399" s="50">
        <f>F109</f>
        <v>1.8</v>
      </c>
      <c r="H399" s="50">
        <f>H356</f>
        <v>2.1222140492848305</v>
      </c>
      <c r="I399" s="50">
        <v>0</v>
      </c>
      <c r="J399" s="50">
        <f>H138</f>
        <v>0.3778502025121297</v>
      </c>
    </row>
    <row r="400" spans="1:10" ht="13.5" customHeight="1">
      <c r="A400" s="1" t="s">
        <v>320</v>
      </c>
      <c r="B400" s="2"/>
      <c r="C400" s="2"/>
      <c r="D400" s="2" t="s">
        <v>394</v>
      </c>
      <c r="E400" s="14"/>
      <c r="F400" s="92">
        <f>F109</f>
        <v>1.8</v>
      </c>
      <c r="G400" s="50">
        <f>F5</f>
        <v>3</v>
      </c>
      <c r="H400" s="50">
        <f>H332+H346</f>
        <v>18.06321571128607</v>
      </c>
      <c r="I400" s="50">
        <v>0</v>
      </c>
      <c r="J400" s="50">
        <f>I332</f>
        <v>3.8921551027442636</v>
      </c>
    </row>
    <row r="401" spans="1:10" ht="13.5" customHeight="1">
      <c r="A401" s="1" t="s">
        <v>321</v>
      </c>
      <c r="B401" s="2"/>
      <c r="C401" s="2"/>
      <c r="D401" s="2" t="s">
        <v>395</v>
      </c>
      <c r="E401" s="14"/>
      <c r="F401" s="92">
        <f>F109</f>
        <v>1.8</v>
      </c>
      <c r="G401" s="50">
        <f>F5</f>
        <v>3</v>
      </c>
      <c r="H401" s="50">
        <f>H333+H347</f>
        <v>1.2315828894058687</v>
      </c>
      <c r="I401" s="50">
        <v>0</v>
      </c>
      <c r="J401" s="50">
        <f>I333</f>
        <v>0.2653742115507453</v>
      </c>
    </row>
    <row r="402" spans="1:10" ht="13.5" customHeight="1">
      <c r="A402" s="1" t="s">
        <v>322</v>
      </c>
      <c r="B402" s="2"/>
      <c r="C402" s="2"/>
      <c r="D402" s="2" t="s">
        <v>305</v>
      </c>
      <c r="E402" s="3"/>
      <c r="F402" s="92">
        <f>F5-L65</f>
        <v>2.2</v>
      </c>
      <c r="G402" s="50">
        <f>F22</f>
        <v>3</v>
      </c>
      <c r="H402" s="50">
        <v>0</v>
      </c>
      <c r="I402" s="50">
        <f>H216*0.5</f>
        <v>-8.640000000000002</v>
      </c>
      <c r="J402" s="50">
        <v>0</v>
      </c>
    </row>
    <row r="403" spans="1:10" ht="13.5" customHeight="1">
      <c r="A403" s="1" t="s">
        <v>171</v>
      </c>
      <c r="B403" s="2"/>
      <c r="C403" s="2"/>
      <c r="D403" s="2" t="s">
        <v>82</v>
      </c>
      <c r="E403" s="14"/>
      <c r="F403" s="92"/>
      <c r="G403" s="50"/>
      <c r="H403" s="50">
        <f aca="true" t="shared" si="9" ref="H403:H408">H359</f>
        <v>11.400000000000002</v>
      </c>
      <c r="I403" s="50">
        <v>0</v>
      </c>
      <c r="J403" s="50">
        <f aca="true" t="shared" si="10" ref="J403:J408">I359</f>
        <v>65.55000000000001</v>
      </c>
    </row>
    <row r="404" spans="1:10" ht="13.5" customHeight="1">
      <c r="A404" s="1" t="s">
        <v>172</v>
      </c>
      <c r="B404" s="2"/>
      <c r="C404" s="2"/>
      <c r="D404" s="2" t="s">
        <v>278</v>
      </c>
      <c r="E404" s="14"/>
      <c r="F404" s="92"/>
      <c r="G404" s="50"/>
      <c r="H404" s="50">
        <f t="shared" si="9"/>
        <v>0</v>
      </c>
      <c r="I404" s="50">
        <v>0</v>
      </c>
      <c r="J404" s="50">
        <f t="shared" si="10"/>
        <v>0</v>
      </c>
    </row>
    <row r="405" spans="1:10" ht="13.5" customHeight="1">
      <c r="A405" s="12" t="s">
        <v>212</v>
      </c>
      <c r="B405" s="13"/>
      <c r="C405" s="13"/>
      <c r="D405" s="13" t="s">
        <v>84</v>
      </c>
      <c r="E405" s="14"/>
      <c r="F405" s="92"/>
      <c r="G405" s="50"/>
      <c r="H405" s="50">
        <f t="shared" si="9"/>
        <v>0</v>
      </c>
      <c r="I405" s="50">
        <v>0</v>
      </c>
      <c r="J405" s="50">
        <f t="shared" si="10"/>
        <v>0</v>
      </c>
    </row>
    <row r="406" spans="1:10" ht="13.5" customHeight="1">
      <c r="A406" s="12" t="s">
        <v>261</v>
      </c>
      <c r="B406" s="13"/>
      <c r="C406" s="13"/>
      <c r="D406" s="13" t="s">
        <v>273</v>
      </c>
      <c r="E406" s="14"/>
      <c r="F406" s="92"/>
      <c r="G406" s="50"/>
      <c r="H406" s="50">
        <f t="shared" si="9"/>
        <v>0</v>
      </c>
      <c r="I406" s="50">
        <v>0</v>
      </c>
      <c r="J406" s="50">
        <f t="shared" si="10"/>
        <v>0</v>
      </c>
    </row>
    <row r="407" spans="1:10" ht="13.5" customHeight="1">
      <c r="A407" s="12" t="s">
        <v>210</v>
      </c>
      <c r="B407" s="13"/>
      <c r="C407" s="13"/>
      <c r="D407" s="13" t="s">
        <v>274</v>
      </c>
      <c r="E407" s="14"/>
      <c r="F407" s="92"/>
      <c r="G407" s="50"/>
      <c r="H407" s="50">
        <f t="shared" si="9"/>
        <v>0</v>
      </c>
      <c r="I407" s="50">
        <v>0</v>
      </c>
      <c r="J407" s="50">
        <f t="shared" si="10"/>
        <v>0</v>
      </c>
    </row>
    <row r="408" spans="1:10" ht="13.5" customHeight="1">
      <c r="A408" s="12" t="s">
        <v>211</v>
      </c>
      <c r="B408" s="13"/>
      <c r="C408" s="13"/>
      <c r="D408" s="13" t="s">
        <v>275</v>
      </c>
      <c r="E408" s="14"/>
      <c r="F408" s="92"/>
      <c r="G408" s="50"/>
      <c r="H408" s="50">
        <f t="shared" si="9"/>
        <v>0</v>
      </c>
      <c r="I408" s="50">
        <v>0</v>
      </c>
      <c r="J408" s="50">
        <f t="shared" si="10"/>
        <v>0</v>
      </c>
    </row>
    <row r="409" spans="1:10" ht="13.5" customHeight="1">
      <c r="A409" s="18"/>
      <c r="B409" s="19"/>
      <c r="C409" s="19"/>
      <c r="D409" s="19"/>
      <c r="E409" s="20"/>
      <c r="F409" s="55" t="s">
        <v>333</v>
      </c>
      <c r="G409" s="56"/>
      <c r="H409" s="50">
        <f>SUM(H398:H408)</f>
        <v>45.69177788230475</v>
      </c>
      <c r="I409" s="50">
        <f>-SUM(I398:I408)</f>
        <v>8.640000000000002</v>
      </c>
      <c r="J409" s="50">
        <f>SUM(J398:J408)</f>
        <v>72.37767074538074</v>
      </c>
    </row>
    <row r="410" spans="1:8" ht="13.5" customHeight="1">
      <c r="A410" s="28" t="s">
        <v>217</v>
      </c>
      <c r="B410" s="29"/>
      <c r="C410" s="29"/>
      <c r="D410" s="29"/>
      <c r="E410" s="30"/>
      <c r="F410" s="104" t="s">
        <v>218</v>
      </c>
      <c r="G410" s="134">
        <f>J409*TAN(RADIANS(L75))/1</f>
        <v>41.787267688163666</v>
      </c>
      <c r="H410" s="40" t="s">
        <v>186</v>
      </c>
    </row>
    <row r="411" spans="1:8" ht="13.5" customHeight="1">
      <c r="A411" s="18" t="s">
        <v>341</v>
      </c>
      <c r="B411" s="19"/>
      <c r="C411" s="19"/>
      <c r="D411" s="19"/>
      <c r="E411" s="20"/>
      <c r="F411" s="104" t="s">
        <v>218</v>
      </c>
      <c r="G411" s="134">
        <f>1000*I371*L74/1</f>
        <v>8.542898685356894</v>
      </c>
      <c r="H411" s="40" t="s">
        <v>186</v>
      </c>
    </row>
    <row r="412" spans="1:8" ht="13.5" customHeight="1">
      <c r="A412" s="145" t="s">
        <v>342</v>
      </c>
      <c r="B412" s="55"/>
      <c r="C412" s="55"/>
      <c r="D412" s="55"/>
      <c r="E412" s="55"/>
      <c r="F412" s="55"/>
      <c r="G412" s="55"/>
      <c r="H412" s="56"/>
    </row>
    <row r="413" spans="1:8" ht="13.5" customHeight="1">
      <c r="A413" s="28" t="s">
        <v>343</v>
      </c>
      <c r="B413" s="29"/>
      <c r="C413" s="29"/>
      <c r="D413" s="29"/>
      <c r="E413" s="30"/>
      <c r="F413" s="151" t="s">
        <v>219</v>
      </c>
      <c r="G413" s="152">
        <f>H409</f>
        <v>45.69177788230475</v>
      </c>
      <c r="H413" s="8" t="s">
        <v>186</v>
      </c>
    </row>
    <row r="414" spans="1:8" ht="13.5" customHeight="1">
      <c r="A414" s="18" t="s">
        <v>344</v>
      </c>
      <c r="B414" s="19"/>
      <c r="C414" s="19"/>
      <c r="D414" s="19"/>
      <c r="E414" s="20"/>
      <c r="F414" s="135" t="s">
        <v>43</v>
      </c>
      <c r="G414" s="109">
        <f>G410+I409</f>
        <v>50.42726768816367</v>
      </c>
      <c r="H414" s="11" t="s">
        <v>186</v>
      </c>
    </row>
    <row r="415" spans="1:12" ht="19.5" customHeight="1">
      <c r="A415" s="90" t="s">
        <v>223</v>
      </c>
      <c r="B415" s="93"/>
      <c r="C415" s="93"/>
      <c r="D415" s="93"/>
      <c r="E415" s="94"/>
      <c r="F415" s="136" t="str">
        <f>IF(F399&lt;=F402,"EΛEΓXOΣ ΣE OΛIΣΘHΣH (ME ΣEIΣMO) ENTAΞEI (αφού Hd&lt;Rd)","***  AΛΛAΓH ΔIATOMHΣ  ***   (αφού Hd &gt; Sd + Epd )")</f>
        <v>EΛEΓXOΣ ΣE OΛIΣΘHΣH (ME ΣEIΣMO) ENTAΞEI (αφού Hd&lt;Rd)</v>
      </c>
      <c r="G415" s="95"/>
      <c r="H415" s="95"/>
      <c r="I415" s="95"/>
      <c r="J415" s="95"/>
      <c r="K415" s="95"/>
      <c r="L415" s="94"/>
    </row>
    <row r="416" spans="1:13" ht="105" customHeight="1">
      <c r="A416" s="210"/>
      <c r="B416" s="211"/>
      <c r="C416" s="211"/>
      <c r="D416" s="211"/>
      <c r="E416" s="211"/>
      <c r="F416" s="212"/>
      <c r="G416" s="213"/>
      <c r="H416" s="213"/>
      <c r="I416" s="213"/>
      <c r="J416" s="213"/>
      <c r="K416" s="213"/>
      <c r="L416" s="211"/>
      <c r="M416" s="157"/>
    </row>
    <row r="417" ht="27.75" customHeight="1">
      <c r="A417" s="127" t="s">
        <v>146</v>
      </c>
    </row>
    <row r="418" ht="27.75" customHeight="1">
      <c r="A418" s="127" t="s">
        <v>147</v>
      </c>
    </row>
    <row r="419" ht="13.5" customHeight="1">
      <c r="A419" t="s">
        <v>180</v>
      </c>
    </row>
    <row r="420" ht="13.5" customHeight="1">
      <c r="A420" t="s">
        <v>361</v>
      </c>
    </row>
    <row r="421" ht="13.5" customHeight="1">
      <c r="A421" t="s">
        <v>362</v>
      </c>
    </row>
    <row r="422" ht="13.5" customHeight="1">
      <c r="A422" t="s">
        <v>325</v>
      </c>
    </row>
    <row r="424" spans="1:11" ht="13.5" customHeight="1">
      <c r="A424" s="122" t="s">
        <v>226</v>
      </c>
      <c r="B424" s="122" t="s">
        <v>50</v>
      </c>
      <c r="C424" s="122" t="s">
        <v>227</v>
      </c>
      <c r="D424" s="122" t="s">
        <v>228</v>
      </c>
      <c r="E424" s="122" t="s">
        <v>229</v>
      </c>
      <c r="F424" s="122" t="s">
        <v>269</v>
      </c>
      <c r="G424" s="122" t="s">
        <v>87</v>
      </c>
      <c r="H424" s="122" t="s">
        <v>88</v>
      </c>
      <c r="I424" s="122" t="s">
        <v>89</v>
      </c>
      <c r="J424" s="122" t="s">
        <v>90</v>
      </c>
      <c r="K424" s="122" t="s">
        <v>91</v>
      </c>
    </row>
    <row r="425" spans="1:11" ht="13.5" customHeight="1">
      <c r="A425" s="123" t="s">
        <v>53</v>
      </c>
      <c r="B425" s="123" t="s">
        <v>53</v>
      </c>
      <c r="C425" s="123" t="s">
        <v>53</v>
      </c>
      <c r="D425" s="137" t="s">
        <v>92</v>
      </c>
      <c r="E425" s="137" t="s">
        <v>92</v>
      </c>
      <c r="F425" s="137" t="s">
        <v>270</v>
      </c>
      <c r="G425" s="123"/>
      <c r="H425" s="123" t="s">
        <v>93</v>
      </c>
      <c r="I425" s="123" t="s">
        <v>93</v>
      </c>
      <c r="J425" s="123"/>
      <c r="K425" s="123" t="s">
        <v>93</v>
      </c>
    </row>
    <row r="426" spans="1:11" ht="13.5" customHeight="1">
      <c r="A426" s="50">
        <v>0</v>
      </c>
      <c r="B426" s="50">
        <v>0</v>
      </c>
      <c r="C426" s="50">
        <f>F6</f>
        <v>0.5</v>
      </c>
      <c r="D426" s="70"/>
      <c r="E426" s="70"/>
      <c r="F426" s="70"/>
      <c r="G426" s="70"/>
      <c r="H426" s="70"/>
      <c r="I426" s="70"/>
      <c r="J426" s="70"/>
      <c r="K426" s="70"/>
    </row>
    <row r="427" spans="1:11" ht="13.5" customHeight="1">
      <c r="A427" s="50">
        <f>IF(A426&gt;=F14,"",IF(0.5&lt;$F$14,0.5,$F$14))</f>
        <v>0.5</v>
      </c>
      <c r="B427" s="50">
        <f aca="true" t="shared" si="11" ref="B427:B436">IF(A427="","",C427/2-A427*TAN(RADIANS($F$15)))</f>
        <v>0.3068181818181818</v>
      </c>
      <c r="C427" s="50">
        <f aca="true" t="shared" si="12" ref="C427:C436">IF(A427="","",$C$426+A427*TAN(RADIANS($F$18))+A427*TAN(RADIANS($F$15)))</f>
        <v>0.6136363636363636</v>
      </c>
      <c r="D427" s="138">
        <f aca="true" t="shared" si="13" ref="D427:D436">IF(A427="","",1.35*($F$21*$H$120*A427*COS(RADIANS($F$71))+($F$66*A427*$H$120)*A427*COS(RADIANS($F$71))/2)+1.5*($F$22*$H$120*A427*COS(RADIANS($F$71))))</f>
        <v>1.7333169385854583</v>
      </c>
      <c r="E427" s="138">
        <f aca="true" t="shared" si="14" ref="E427:E436">IF(A427="","",0.5*($C$426+C427)*A427*$F$85+1.35*($F$21*$H$120*A427*SIN(RADIANS($F$71))+($F$66*A427*$H$120)*A427*SIN(RADIANS($F$71))/2)+1.5*($F$22*$H$120*A427*SIN(RADIANS($F$71)))+$F$25)</f>
        <v>7.424668146648433</v>
      </c>
      <c r="F427" s="138">
        <f aca="true" t="shared" si="15" ref="F427:F436">IF(A427="","",0.5*($C$426+C427)*A427*$F$85*((($C$426^2+$C$426*C427+C427^2)/(3*($C$426+C427)))-C427/2)+$L$79*$F$66*$H$120*A427*A427/2*COS(RADIANS($F$71))*A427/3-$L$79*$F$66*$H$120*A427*A427/2*SIN(RADIANS($F$71))*C427/2+$L$79*$F$21*$H$120*A427*COS(RADIANS($F$71))*A427/2-$L$79*$F$21*$H$120*A427*SIN(RADIANS($F$71))*C427/2+$L$81*$F$22*$H$120*A427*COS(RADIANS($F$71))*A427/2-$L$81*$F$22*$H$120*A427*SIN(RADIANS($F$71))*C427/2-$F$25*(C427/2-$F$27)-$L$81*$F$26*(C427/2-$F$27))</f>
        <v>0.03372116816950733</v>
      </c>
      <c r="G427" s="50">
        <f>IF(A427="","",(-F427/E427)/C427)</f>
        <v>-0.007401410232665954</v>
      </c>
      <c r="H427" s="50">
        <f>IF(A427="","",-(E427/C427*(1+6*(F427/E427)/C427))/1000)</f>
        <v>-0.01263677756882762</v>
      </c>
      <c r="I427" s="50">
        <f>IF(A427="","",-(E427/C427*(1-6*(F427/E427)/C427))/1000)</f>
        <v>-0.011562140835063569</v>
      </c>
      <c r="J427" s="50">
        <f>IF(A427="","",IF(H427*I427&gt;0,1,3*(C427/2-F427/E427)/$F$17))</f>
        <v>1</v>
      </c>
      <c r="K427" s="50">
        <f aca="true" t="shared" si="16" ref="K427:K436">IF(A427="","",(D427-F427/C427*TAN(RADIANS($F$18)))/(1*0.875*C427*1000))</f>
        <v>0.003204927625388894</v>
      </c>
    </row>
    <row r="428" spans="1:11" ht="13.5" customHeight="1">
      <c r="A428" s="50">
        <f>IF(A427&gt;=F14,"",IF(1&lt;$F$14,1,$F$14))</f>
        <v>1</v>
      </c>
      <c r="B428" s="50">
        <f t="shared" si="11"/>
        <v>0.36363636363636365</v>
      </c>
      <c r="C428" s="50">
        <f t="shared" si="12"/>
        <v>0.7272727272727273</v>
      </c>
      <c r="D428" s="138">
        <f t="shared" si="13"/>
        <v>5.053059549774556</v>
      </c>
      <c r="E428" s="138">
        <f t="shared" si="14"/>
        <v>16.694872316577555</v>
      </c>
      <c r="F428" s="138">
        <f t="shared" si="15"/>
        <v>0.6875334879085517</v>
      </c>
      <c r="G428" s="50">
        <f aca="true" t="shared" si="17" ref="G428:G436">IF(A428="","",(-F428/E428)/C428)</f>
        <v>-0.05662568290118297</v>
      </c>
      <c r="H428" s="50">
        <f aca="true" t="shared" si="18" ref="H428:H436">IF(A428="","",-(E428/C428*(1+6*(F428/E428)/C428))/1000)</f>
        <v>-0.03075465743875677</v>
      </c>
      <c r="I428" s="50">
        <f aca="true" t="shared" si="19" ref="I428:I436">IF(A428="","",-(E428/C428*(1-6*(F428/E428)/C428))/1000)</f>
        <v>-0.015156241431831505</v>
      </c>
      <c r="J428" s="50">
        <f aca="true" t="shared" si="20" ref="J428:J436">IF(A428="","",IF(H428*I428&gt;0,1,3*(C428/2-F428/E428)/$F$17))</f>
        <v>1</v>
      </c>
      <c r="K428" s="50">
        <f t="shared" si="16"/>
        <v>0.00760289409754778</v>
      </c>
    </row>
    <row r="429" spans="1:11" ht="13.5" customHeight="1">
      <c r="A429" s="50">
        <f>IF(A428&gt;=F14,"",IF(1.5&lt;$F$14,1.5,$F$14))</f>
        <v>1.5</v>
      </c>
      <c r="B429" s="50">
        <f t="shared" si="11"/>
        <v>0.4204545454545454</v>
      </c>
      <c r="C429" s="50">
        <f t="shared" si="12"/>
        <v>0.8409090909090908</v>
      </c>
      <c r="D429" s="138">
        <f t="shared" si="13"/>
        <v>9.959227833567294</v>
      </c>
      <c r="E429" s="138">
        <f t="shared" si="14"/>
        <v>27.81061250978737</v>
      </c>
      <c r="F429" s="138">
        <f t="shared" si="15"/>
        <v>2.6014850808068513</v>
      </c>
      <c r="G429" s="50">
        <f t="shared" si="17"/>
        <v>-0.11124019411092523</v>
      </c>
      <c r="H429" s="50">
        <f t="shared" si="18"/>
        <v>-0.05514574716185992</v>
      </c>
      <c r="I429" s="50">
        <f t="shared" si="19"/>
        <v>-0.01099841232087761</v>
      </c>
      <c r="J429" s="50">
        <f t="shared" si="20"/>
        <v>1</v>
      </c>
      <c r="K429" s="50">
        <f t="shared" si="16"/>
        <v>0.012579751207340114</v>
      </c>
    </row>
    <row r="430" spans="1:11" ht="13.5" customHeight="1">
      <c r="A430" s="50">
        <f>IF(A429&gt;=F14,"",IF(2&lt;$F$14,2,$F$14))</f>
        <v>2</v>
      </c>
      <c r="B430" s="50">
        <f t="shared" si="11"/>
        <v>0.4772727272727273</v>
      </c>
      <c r="C430" s="50">
        <f t="shared" si="12"/>
        <v>0.9545454545454546</v>
      </c>
      <c r="D430" s="138">
        <f t="shared" si="13"/>
        <v>16.45182178996367</v>
      </c>
      <c r="E430" s="138">
        <f t="shared" si="14"/>
        <v>40.77188872627788</v>
      </c>
      <c r="F430" s="138">
        <f t="shared" si="15"/>
        <v>6.415624068454126</v>
      </c>
      <c r="G430" s="50">
        <f t="shared" si="17"/>
        <v>-0.1648471578444174</v>
      </c>
      <c r="H430" s="50">
        <f t="shared" si="18"/>
        <v>-0.08496050994632916</v>
      </c>
      <c r="I430" s="50">
        <f t="shared" si="19"/>
        <v>-0.00046630452777686877</v>
      </c>
      <c r="J430" s="50">
        <f t="shared" si="20"/>
        <v>1</v>
      </c>
      <c r="K430" s="50">
        <f t="shared" si="16"/>
        <v>0.017868540380779428</v>
      </c>
    </row>
    <row r="431" spans="1:11" ht="13.5" customHeight="1">
      <c r="A431" s="50">
        <f>IF(A430&gt;=F14,"",IF(2.5&lt;$F$14,2.5,$F$14))</f>
        <v>2.2</v>
      </c>
      <c r="B431" s="50">
        <f t="shared" si="11"/>
        <v>0.5</v>
      </c>
      <c r="C431" s="50">
        <f t="shared" si="12"/>
        <v>1</v>
      </c>
      <c r="D431" s="138">
        <f t="shared" si="13"/>
        <v>19.493058560851246</v>
      </c>
      <c r="E431" s="138">
        <f t="shared" si="14"/>
        <v>46.473149299392674</v>
      </c>
      <c r="F431" s="138">
        <f t="shared" si="15"/>
        <v>8.616702913278846</v>
      </c>
      <c r="G431" s="50">
        <f t="shared" si="17"/>
        <v>-0.18541250255642674</v>
      </c>
      <c r="H431" s="50">
        <f t="shared" si="18"/>
        <v>-0.09817336677906574</v>
      </c>
      <c r="I431" s="50">
        <f t="shared" si="19"/>
        <v>0.005227068180280404</v>
      </c>
      <c r="J431" s="50">
        <f t="shared" si="20"/>
        <v>0.6291749948871466</v>
      </c>
      <c r="K431" s="50">
        <f t="shared" si="16"/>
        <v>0.020039676559601722</v>
      </c>
    </row>
    <row r="432" spans="1:11" ht="13.5" customHeight="1">
      <c r="A432" s="50">
        <f>IF(A431&gt;=F14,"",IF(3&lt;$F$14,3,$F$14))</f>
      </c>
      <c r="B432" s="50">
        <f t="shared" si="11"/>
      </c>
      <c r="C432" s="50">
        <f t="shared" si="12"/>
      </c>
      <c r="D432" s="138">
        <f t="shared" si="13"/>
      </c>
      <c r="E432" s="138">
        <f t="shared" si="14"/>
      </c>
      <c r="F432" s="138">
        <f t="shared" si="15"/>
      </c>
      <c r="G432" s="50">
        <f t="shared" si="17"/>
      </c>
      <c r="H432" s="50">
        <f t="shared" si="18"/>
      </c>
      <c r="I432" s="50">
        <f t="shared" si="19"/>
      </c>
      <c r="J432" s="50">
        <f t="shared" si="20"/>
      </c>
      <c r="K432" s="50">
        <f t="shared" si="16"/>
      </c>
    </row>
    <row r="433" spans="1:11" ht="13.5" customHeight="1">
      <c r="A433" s="50">
        <f>IF(A432&gt;=F14,"",IF(3.5&lt;$F$14,3.5,$F$14))</f>
      </c>
      <c r="B433" s="50">
        <f t="shared" si="11"/>
      </c>
      <c r="C433" s="50">
        <f t="shared" si="12"/>
      </c>
      <c r="D433" s="138">
        <f t="shared" si="13"/>
      </c>
      <c r="E433" s="138">
        <f t="shared" si="14"/>
      </c>
      <c r="F433" s="138">
        <f t="shared" si="15"/>
      </c>
      <c r="G433" s="50">
        <f t="shared" si="17"/>
      </c>
      <c r="H433" s="50">
        <f t="shared" si="18"/>
      </c>
      <c r="I433" s="50">
        <f t="shared" si="19"/>
      </c>
      <c r="J433" s="50">
        <f t="shared" si="20"/>
      </c>
      <c r="K433" s="50">
        <f t="shared" si="16"/>
      </c>
    </row>
    <row r="434" spans="1:11" ht="13.5" customHeight="1">
      <c r="A434" s="50">
        <f>IF(A433&gt;=F14,"",IF(4&lt;$F$14,4,$F$14))</f>
      </c>
      <c r="B434" s="50">
        <f t="shared" si="11"/>
      </c>
      <c r="C434" s="50">
        <f t="shared" si="12"/>
      </c>
      <c r="D434" s="138">
        <f t="shared" si="13"/>
      </c>
      <c r="E434" s="138">
        <f t="shared" si="14"/>
      </c>
      <c r="F434" s="138">
        <f t="shared" si="15"/>
      </c>
      <c r="G434" s="50">
        <f t="shared" si="17"/>
      </c>
      <c r="H434" s="50">
        <f t="shared" si="18"/>
      </c>
      <c r="I434" s="50">
        <f t="shared" si="19"/>
      </c>
      <c r="J434" s="50">
        <f t="shared" si="20"/>
      </c>
      <c r="K434" s="50">
        <f t="shared" si="16"/>
      </c>
    </row>
    <row r="435" spans="1:11" ht="13.5" customHeight="1">
      <c r="A435" s="50">
        <f>IF(A434&gt;=F14,"",IF(4.5&lt;$F$14,4.5,$F$14))</f>
      </c>
      <c r="B435" s="50">
        <f t="shared" si="11"/>
      </c>
      <c r="C435" s="50">
        <f t="shared" si="12"/>
      </c>
      <c r="D435" s="138">
        <f t="shared" si="13"/>
      </c>
      <c r="E435" s="138">
        <f t="shared" si="14"/>
      </c>
      <c r="F435" s="138">
        <f t="shared" si="15"/>
      </c>
      <c r="G435" s="50">
        <f t="shared" si="17"/>
      </c>
      <c r="H435" s="50">
        <f t="shared" si="18"/>
      </c>
      <c r="I435" s="50">
        <f t="shared" si="19"/>
      </c>
      <c r="J435" s="50">
        <f t="shared" si="20"/>
      </c>
      <c r="K435" s="50">
        <f t="shared" si="16"/>
      </c>
    </row>
    <row r="436" spans="1:11" ht="13.5" customHeight="1">
      <c r="A436" s="50">
        <f>IF(A434&gt;=F14,"",IF(5&lt;$F$14,5,$F$14))</f>
      </c>
      <c r="B436" s="50">
        <f t="shared" si="11"/>
      </c>
      <c r="C436" s="50">
        <f t="shared" si="12"/>
      </c>
      <c r="D436" s="138">
        <f t="shared" si="13"/>
      </c>
      <c r="E436" s="138">
        <f t="shared" si="14"/>
      </c>
      <c r="F436" s="138">
        <f t="shared" si="15"/>
      </c>
      <c r="G436" s="50">
        <f t="shared" si="17"/>
      </c>
      <c r="H436" s="50">
        <f t="shared" si="18"/>
      </c>
      <c r="I436" s="50">
        <f t="shared" si="19"/>
      </c>
      <c r="J436" s="50">
        <f t="shared" si="20"/>
      </c>
      <c r="K436" s="50">
        <f t="shared" si="16"/>
      </c>
    </row>
    <row r="437" spans="1:12" ht="13.5" customHeight="1">
      <c r="A437" s="243" t="s">
        <v>105</v>
      </c>
      <c r="B437" s="244"/>
      <c r="C437" s="244"/>
      <c r="D437" s="245"/>
      <c r="E437" s="243" t="s">
        <v>106</v>
      </c>
      <c r="F437" s="244"/>
      <c r="G437" s="244"/>
      <c r="H437" s="245"/>
      <c r="I437" s="246" t="s">
        <v>107</v>
      </c>
      <c r="J437" s="247"/>
      <c r="K437" s="247"/>
      <c r="L437" s="248"/>
    </row>
    <row r="438" spans="1:11" ht="13.5" customHeight="1">
      <c r="A438" s="175"/>
      <c r="B438" s="176"/>
      <c r="C438" s="176"/>
      <c r="D438" s="175"/>
      <c r="E438" s="175"/>
      <c r="F438" s="175"/>
      <c r="G438" s="176"/>
      <c r="H438" s="176"/>
      <c r="I438" s="176"/>
      <c r="J438" s="176"/>
      <c r="K438" s="176"/>
    </row>
    <row r="439" spans="1:11" ht="13.5" customHeight="1">
      <c r="A439" s="175"/>
      <c r="B439" s="176"/>
      <c r="C439" s="176"/>
      <c r="D439" s="175"/>
      <c r="E439" s="175"/>
      <c r="F439" s="175"/>
      <c r="G439" s="176"/>
      <c r="H439" s="176"/>
      <c r="I439" s="176"/>
      <c r="J439" s="176"/>
      <c r="K439" s="176"/>
    </row>
    <row r="440" spans="1:11" ht="13.5" customHeight="1">
      <c r="A440" s="175"/>
      <c r="B440" s="176"/>
      <c r="C440" s="176"/>
      <c r="D440" s="175"/>
      <c r="E440" s="175"/>
      <c r="F440" s="175"/>
      <c r="G440" s="176"/>
      <c r="H440" s="176"/>
      <c r="I440" s="176"/>
      <c r="J440" s="176"/>
      <c r="K440" s="176"/>
    </row>
    <row r="441" spans="1:11" ht="13.5" customHeight="1">
      <c r="A441" s="175"/>
      <c r="B441" s="176"/>
      <c r="C441" s="176"/>
      <c r="D441" s="175"/>
      <c r="E441" s="175"/>
      <c r="F441" s="175"/>
      <c r="G441" s="176"/>
      <c r="H441" s="176"/>
      <c r="I441" s="176"/>
      <c r="J441" s="176"/>
      <c r="K441" s="176"/>
    </row>
    <row r="442" spans="1:11" ht="13.5" customHeight="1">
      <c r="A442" s="175"/>
      <c r="B442" s="176"/>
      <c r="C442" s="176"/>
      <c r="D442" s="175"/>
      <c r="E442" s="175"/>
      <c r="F442" s="175"/>
      <c r="G442" s="176"/>
      <c r="H442" s="176"/>
      <c r="I442" s="176"/>
      <c r="J442" s="176"/>
      <c r="K442" s="176"/>
    </row>
    <row r="443" spans="1:11" ht="13.5" customHeight="1">
      <c r="A443" s="175"/>
      <c r="B443" s="176"/>
      <c r="C443" s="176"/>
      <c r="D443" s="175"/>
      <c r="E443" s="175"/>
      <c r="F443" s="175"/>
      <c r="G443" s="176"/>
      <c r="H443" s="176"/>
      <c r="I443" s="176"/>
      <c r="J443" s="176"/>
      <c r="K443" s="176"/>
    </row>
    <row r="444" spans="1:11" ht="13.5" customHeight="1">
      <c r="A444" s="175"/>
      <c r="B444" s="176"/>
      <c r="C444" s="176"/>
      <c r="D444" s="175"/>
      <c r="E444" s="175"/>
      <c r="F444" s="175"/>
      <c r="G444" s="176"/>
      <c r="H444" s="176"/>
      <c r="I444" s="176"/>
      <c r="J444" s="176"/>
      <c r="K444" s="176"/>
    </row>
    <row r="445" spans="1:11" ht="13.5" customHeight="1">
      <c r="A445" s="175"/>
      <c r="B445" s="176"/>
      <c r="C445" s="176"/>
      <c r="D445" s="175"/>
      <c r="E445" s="175"/>
      <c r="F445" s="175"/>
      <c r="G445" s="176"/>
      <c r="H445" s="176"/>
      <c r="I445" s="176"/>
      <c r="J445" s="176"/>
      <c r="K445" s="176"/>
    </row>
    <row r="446" spans="1:11" ht="13.5" customHeight="1">
      <c r="A446" s="175"/>
      <c r="B446" s="176"/>
      <c r="C446" s="176"/>
      <c r="D446" s="175"/>
      <c r="E446" s="175"/>
      <c r="F446" s="175"/>
      <c r="G446" s="176"/>
      <c r="H446" s="176"/>
      <c r="I446" s="176"/>
      <c r="J446" s="176"/>
      <c r="K446" s="176"/>
    </row>
    <row r="447" spans="1:11" ht="13.5" customHeight="1">
      <c r="A447" s="175"/>
      <c r="B447" s="176"/>
      <c r="C447" s="176"/>
      <c r="D447" s="175"/>
      <c r="E447" s="175"/>
      <c r="F447" s="175"/>
      <c r="G447" s="176"/>
      <c r="H447" s="176"/>
      <c r="I447" s="176"/>
      <c r="J447" s="176"/>
      <c r="K447" s="176"/>
    </row>
    <row r="448" spans="1:11" ht="13.5" customHeight="1">
      <c r="A448" s="175"/>
      <c r="B448" s="176"/>
      <c r="C448" s="176"/>
      <c r="D448" s="175"/>
      <c r="E448" s="175"/>
      <c r="F448" s="175"/>
      <c r="G448" s="176"/>
      <c r="H448" s="176"/>
      <c r="I448" s="176"/>
      <c r="J448" s="176"/>
      <c r="K448" s="176"/>
    </row>
    <row r="449" spans="1:11" ht="13.5" customHeight="1">
      <c r="A449" s="175"/>
      <c r="B449" s="176"/>
      <c r="C449" s="176"/>
      <c r="D449" s="175"/>
      <c r="E449" s="175"/>
      <c r="F449" s="175"/>
      <c r="G449" s="176"/>
      <c r="H449" s="176"/>
      <c r="I449" s="176"/>
      <c r="J449" s="176"/>
      <c r="K449" s="176"/>
    </row>
    <row r="450" ht="24.75" customHeight="1">
      <c r="A450" s="27" t="s">
        <v>108</v>
      </c>
    </row>
    <row r="451" spans="1:11" ht="13.5" customHeight="1">
      <c r="A451" s="28" t="s">
        <v>326</v>
      </c>
      <c r="B451" s="29"/>
      <c r="C451" s="142" t="s">
        <v>330</v>
      </c>
      <c r="D451" s="146">
        <f>ABS(MIN(H427:H435))</f>
        <v>0.09817336677906574</v>
      </c>
      <c r="E451" s="30" t="s">
        <v>38</v>
      </c>
      <c r="F451" s="149" t="str">
        <f>IF(D451&lt;=H451,"&lt;","&gt;")</f>
        <v>&lt;</v>
      </c>
      <c r="G451" s="29" t="s">
        <v>332</v>
      </c>
      <c r="H451" s="146">
        <f>F86</f>
        <v>12</v>
      </c>
      <c r="I451" s="30" t="s">
        <v>38</v>
      </c>
      <c r="J451" s="227" t="str">
        <f>IF(D451&lt;H451,"IKANOΠOIEITAI","ΔEN IKANOΠOIEITAI")</f>
        <v>IKANOΠOIEITAI</v>
      </c>
      <c r="K451" s="228"/>
    </row>
    <row r="452" spans="1:11" ht="13.5" customHeight="1">
      <c r="A452" s="12" t="s">
        <v>327</v>
      </c>
      <c r="B452" s="13"/>
      <c r="C452" s="143" t="s">
        <v>330</v>
      </c>
      <c r="D452" s="147">
        <v>0</v>
      </c>
      <c r="E452" s="14" t="s">
        <v>38</v>
      </c>
      <c r="F452" s="149"/>
      <c r="G452" s="13" t="s">
        <v>332</v>
      </c>
      <c r="H452" s="147">
        <v>0</v>
      </c>
      <c r="I452" s="14" t="s">
        <v>38</v>
      </c>
      <c r="J452" s="150"/>
      <c r="K452" s="56"/>
    </row>
    <row r="453" spans="1:11" ht="13.5" customHeight="1">
      <c r="A453" s="18" t="s">
        <v>328</v>
      </c>
      <c r="B453" s="19"/>
      <c r="C453" s="144" t="s">
        <v>329</v>
      </c>
      <c r="D453" s="148">
        <f>MAX(K427:K435)</f>
        <v>0.020039676559601722</v>
      </c>
      <c r="E453" s="20" t="s">
        <v>38</v>
      </c>
      <c r="F453" s="149" t="str">
        <f>IF(D453&lt;=H453,"&lt;","&gt;")</f>
        <v>&lt;</v>
      </c>
      <c r="G453" s="19" t="s">
        <v>331</v>
      </c>
      <c r="H453" s="148">
        <f>F87</f>
        <v>0.2</v>
      </c>
      <c r="I453" s="20" t="s">
        <v>38</v>
      </c>
      <c r="J453" s="227" t="str">
        <f>IF(D453&lt;H453,"IKANOΠOIEITAI","ΔEN IKANOΠOIEITAI")</f>
        <v>IKANOΠOIEITAI</v>
      </c>
      <c r="K453" s="228"/>
    </row>
    <row r="454" spans="1:11" ht="22.5" customHeight="1">
      <c r="A454" s="62" t="s">
        <v>253</v>
      </c>
      <c r="B454" s="13"/>
      <c r="C454" s="177"/>
      <c r="D454" s="147"/>
      <c r="E454" s="13"/>
      <c r="F454" s="178"/>
      <c r="G454" s="13"/>
      <c r="H454" s="147"/>
      <c r="I454" s="13"/>
      <c r="J454" s="179"/>
      <c r="K454" s="13"/>
    </row>
    <row r="455" spans="1:11" ht="13.5" customHeight="1">
      <c r="A455" s="13" t="s">
        <v>254</v>
      </c>
      <c r="B455" s="13"/>
      <c r="C455" s="177"/>
      <c r="D455" s="147"/>
      <c r="E455" s="13"/>
      <c r="F455" s="178"/>
      <c r="G455" s="13"/>
      <c r="H455" s="147"/>
      <c r="I455" s="13"/>
      <c r="J455" s="179"/>
      <c r="K455" s="13"/>
    </row>
    <row r="456" spans="1:11" ht="13.5" customHeight="1">
      <c r="A456" s="13" t="s">
        <v>121</v>
      </c>
      <c r="B456" s="13"/>
      <c r="C456" s="177"/>
      <c r="D456" s="147"/>
      <c r="E456" s="13"/>
      <c r="F456" s="178"/>
      <c r="G456" s="13"/>
      <c r="H456" s="147"/>
      <c r="I456" s="13"/>
      <c r="J456" s="179"/>
      <c r="K456" s="13"/>
    </row>
    <row r="457" spans="1:11" ht="13.5" customHeight="1">
      <c r="A457" s="13" t="s">
        <v>122</v>
      </c>
      <c r="B457" s="13"/>
      <c r="C457" s="177"/>
      <c r="D457" s="147"/>
      <c r="E457" s="13"/>
      <c r="F457" s="178"/>
      <c r="G457" s="13"/>
      <c r="H457" s="147"/>
      <c r="I457" s="13"/>
      <c r="J457" s="179"/>
      <c r="K457" s="13"/>
    </row>
    <row r="458" spans="1:11" ht="13.5" customHeight="1">
      <c r="A458" s="13" t="s">
        <v>258</v>
      </c>
      <c r="B458" s="13"/>
      <c r="C458" s="177"/>
      <c r="D458" s="147"/>
      <c r="E458" s="13"/>
      <c r="F458" s="178"/>
      <c r="G458" s="13"/>
      <c r="H458" s="147"/>
      <c r="I458" s="13"/>
      <c r="J458" s="179"/>
      <c r="K458" s="13"/>
    </row>
    <row r="459" spans="1:11" ht="13.5" customHeight="1">
      <c r="A459" s="13" t="s">
        <v>259</v>
      </c>
      <c r="B459" s="13"/>
      <c r="C459" s="177"/>
      <c r="D459" s="147"/>
      <c r="E459" s="13"/>
      <c r="F459" s="178"/>
      <c r="G459" s="13"/>
      <c r="H459" s="147"/>
      <c r="I459" s="13"/>
      <c r="J459" s="179"/>
      <c r="K459" s="13"/>
    </row>
    <row r="460" spans="1:11" ht="13.5" customHeight="1">
      <c r="A460" s="13"/>
      <c r="B460" s="13"/>
      <c r="C460" s="177"/>
      <c r="D460" s="147"/>
      <c r="E460" s="13"/>
      <c r="F460" s="178"/>
      <c r="G460" s="13"/>
      <c r="H460" s="147"/>
      <c r="I460" s="13"/>
      <c r="J460" s="179"/>
      <c r="K460" s="13"/>
    </row>
    <row r="461" spans="1:11" ht="13.5" customHeight="1">
      <c r="A461" s="122" t="s">
        <v>226</v>
      </c>
      <c r="B461" s="122" t="s">
        <v>260</v>
      </c>
      <c r="C461" s="122" t="s">
        <v>229</v>
      </c>
      <c r="D461" s="122" t="s">
        <v>269</v>
      </c>
      <c r="E461" s="122" t="s">
        <v>125</v>
      </c>
      <c r="F461" s="180" t="s">
        <v>126</v>
      </c>
      <c r="G461" s="122" t="s">
        <v>127</v>
      </c>
      <c r="H461" s="181" t="s">
        <v>128</v>
      </c>
      <c r="I461" s="234" t="s">
        <v>129</v>
      </c>
      <c r="J461" s="235"/>
      <c r="K461" s="236"/>
    </row>
    <row r="462" spans="1:11" ht="13.5" customHeight="1">
      <c r="A462" s="125" t="s">
        <v>53</v>
      </c>
      <c r="B462" s="125" t="s">
        <v>53</v>
      </c>
      <c r="C462" s="71" t="s">
        <v>92</v>
      </c>
      <c r="D462" s="71" t="s">
        <v>270</v>
      </c>
      <c r="E462" s="125"/>
      <c r="F462" s="182"/>
      <c r="G462" s="125" t="s">
        <v>92</v>
      </c>
      <c r="H462" s="183" t="s">
        <v>92</v>
      </c>
      <c r="I462" s="237"/>
      <c r="J462" s="238"/>
      <c r="K462" s="239"/>
    </row>
    <row r="463" spans="1:11" ht="13.5" customHeight="1">
      <c r="A463" s="50">
        <v>0</v>
      </c>
      <c r="B463" s="50">
        <f>F6</f>
        <v>0.5</v>
      </c>
      <c r="C463" s="15"/>
      <c r="D463" s="184"/>
      <c r="E463" s="70"/>
      <c r="F463" s="149"/>
      <c r="G463" s="70"/>
      <c r="H463" s="184"/>
      <c r="I463" s="70"/>
      <c r="J463" s="227"/>
      <c r="K463" s="228"/>
    </row>
    <row r="464" spans="1:11" ht="13.5" customHeight="1">
      <c r="A464" s="50">
        <f>IF(A426&gt;=F14,"",IF(0.5&lt;$F$14,0.5,$F$14))</f>
        <v>0.5</v>
      </c>
      <c r="B464" s="50">
        <f aca="true" t="shared" si="21" ref="B464:B473">IF(A427="","",$C$426+A427*TAN(RADIANS($F$18))+A427*TAN(RADIANS($F$15)))</f>
        <v>0.6136363636363636</v>
      </c>
      <c r="C464" s="138">
        <f aca="true" t="shared" si="22" ref="C464:C473">IF(A427="","",0.5*($C$426+C427)*A427*$F$85+1.35*($F$21*$H$120*A427*SIN(RADIANS($F$71))+($F$66*A427*$H$120)*A427*SIN(RADIANS($F$71))/2)+1.5*($F$22*$H$120*A427*SIN(RADIANS($F$71)))+$F$25)</f>
        <v>7.424668146648433</v>
      </c>
      <c r="D464" s="138">
        <f aca="true" t="shared" si="23" ref="D464:D473">IF(A427="","",0.5*($C$426+C427)*A427*$F$85*((($C$426^2+$C$426*C427+C427^2)/(3*($C$426+C427)))-C427/2)+$L$79*$F$66*$H$120*A427*A427/2*COS(RADIANS($F$71))*A427/3-$L$79*$F$66*$H$120*A427*A427/2*SIN(RADIANS($F$71))*C427/2+$L$79*$F$21*$H$120*A427*COS(RADIANS($F$71))*A427/2-$L$79*$F$21*$H$120*A427*SIN(RADIANS($F$71))*C427/2+$L$81*$F$22*$H$120*A427*COS(RADIANS($F$71))*A427/2-$L$81*$F$22*$H$120*A427*SIN(RADIANS($F$71))*C427/2-$F$25*(C427/2-$F$27)-$L$81*$F$26*(C427/2-$F$27))</f>
        <v>0.03372116816950733</v>
      </c>
      <c r="E464" s="50">
        <f aca="true" t="shared" si="24" ref="E464:E473">IF(A427="","",(D464/C464+$F$5/450)/B464)</f>
        <v>0.018265607763530152</v>
      </c>
      <c r="F464" s="185">
        <f aca="true" t="shared" si="25" ref="F464:F473">IF(A427="","",1-2*(D464/C464)/B464)</f>
        <v>0.9851971795346681</v>
      </c>
      <c r="G464" s="138">
        <f aca="true" t="shared" si="26" ref="G464:G472">IF(A427="","",0.5*($C$426+C427)*A427*$F$85+1.35*($F$21*$H$120*A427*SIN(RADIANS($F$71))+($F$66*A427*$H$120)*A427*SIN(RADIANS($F$71))/2)+1.5*($F$22*$H$120*A427*SIN(RADIANS($F$71)))+$F$25)</f>
        <v>7.424668146648433</v>
      </c>
      <c r="H464" s="138">
        <f aca="true" t="shared" si="27" ref="H464:H473">IF(A427="","",1000*F464*B464*12/2.5)</f>
        <v>2901.8535106293857</v>
      </c>
      <c r="I464" s="70" t="str">
        <f>IF(G464&lt;H464,"(Nsd&lt;Nrd)","")</f>
        <v>(Nsd&lt;Nrd)</v>
      </c>
      <c r="J464" s="227" t="str">
        <f aca="true" t="shared" si="28" ref="J464:J473">IF(A427="","",IF(G464&lt;H464,"IKANOΠOIEITAI","ΔEN IKANOΠOIEITAI"))</f>
        <v>IKANOΠOIEITAI</v>
      </c>
      <c r="K464" s="228"/>
    </row>
    <row r="465" spans="1:11" ht="13.5" customHeight="1">
      <c r="A465" s="50">
        <f>IF(A427&gt;=F14,"",IF(1&lt;$F$14,1,$F$14))</f>
        <v>1</v>
      </c>
      <c r="B465" s="50">
        <f t="shared" si="21"/>
        <v>0.7272727272727273</v>
      </c>
      <c r="C465" s="138">
        <f t="shared" si="22"/>
        <v>16.694872316577555</v>
      </c>
      <c r="D465" s="138">
        <f t="shared" si="23"/>
        <v>0.6875334879085517</v>
      </c>
      <c r="E465" s="50">
        <f t="shared" si="24"/>
        <v>0.06579234956784964</v>
      </c>
      <c r="F465" s="185">
        <f t="shared" si="25"/>
        <v>0.8867486341976341</v>
      </c>
      <c r="G465" s="138">
        <f t="shared" si="26"/>
        <v>16.694872316577555</v>
      </c>
      <c r="H465" s="138">
        <f t="shared" si="27"/>
        <v>3095.5588684717413</v>
      </c>
      <c r="I465" s="70" t="str">
        <f aca="true" t="shared" si="29" ref="I465:I473">IF(G465&lt;H465,"(Nsd&lt;Nrd)","")</f>
        <v>(Nsd&lt;Nrd)</v>
      </c>
      <c r="J465" s="227" t="str">
        <f t="shared" si="28"/>
        <v>IKANOΠOIEITAI</v>
      </c>
      <c r="K465" s="228"/>
    </row>
    <row r="466" spans="1:11" ht="13.5" customHeight="1">
      <c r="A466" s="50">
        <f>IF(A428&gt;=F14,"",IF(1.5&lt;$F$14,1.5,$F$14))</f>
        <v>1.5</v>
      </c>
      <c r="B466" s="50">
        <f t="shared" si="21"/>
        <v>0.8409090909090908</v>
      </c>
      <c r="C466" s="138">
        <f t="shared" si="22"/>
        <v>27.81061250978737</v>
      </c>
      <c r="D466" s="138">
        <f t="shared" si="23"/>
        <v>2.6014850808068513</v>
      </c>
      <c r="E466" s="50">
        <f t="shared" si="24"/>
        <v>0.11916812203885316</v>
      </c>
      <c r="F466" s="185">
        <f t="shared" si="25"/>
        <v>0.7775196117781495</v>
      </c>
      <c r="G466" s="138">
        <f t="shared" si="26"/>
        <v>27.81061250978737</v>
      </c>
      <c r="H466" s="138">
        <f t="shared" si="27"/>
        <v>3138.3518875408945</v>
      </c>
      <c r="I466" s="70" t="str">
        <f t="shared" si="29"/>
        <v>(Nsd&lt;Nrd)</v>
      </c>
      <c r="J466" s="227" t="str">
        <f t="shared" si="28"/>
        <v>IKANOΠOIEITAI</v>
      </c>
      <c r="K466" s="228"/>
    </row>
    <row r="467" spans="1:11" ht="13.5" customHeight="1">
      <c r="A467" s="50">
        <f>IF(A429&gt;=F14,"",IF(2&lt;$F$14,2,$F$14))</f>
        <v>2</v>
      </c>
      <c r="B467" s="50">
        <f t="shared" si="21"/>
        <v>0.9545454545454546</v>
      </c>
      <c r="C467" s="138">
        <f t="shared" si="22"/>
        <v>40.77188872627788</v>
      </c>
      <c r="D467" s="138">
        <f t="shared" si="23"/>
        <v>6.415624068454126</v>
      </c>
      <c r="E467" s="50">
        <f t="shared" si="24"/>
        <v>0.17183128482854435</v>
      </c>
      <c r="F467" s="185">
        <f t="shared" si="25"/>
        <v>0.6703056843111652</v>
      </c>
      <c r="G467" s="138">
        <f t="shared" si="26"/>
        <v>40.77188872627788</v>
      </c>
      <c r="H467" s="138">
        <f t="shared" si="27"/>
        <v>3071.2187717529755</v>
      </c>
      <c r="I467" s="70" t="str">
        <f t="shared" si="29"/>
        <v>(Nsd&lt;Nrd)</v>
      </c>
      <c r="J467" s="227" t="str">
        <f t="shared" si="28"/>
        <v>IKANOΠOIEITAI</v>
      </c>
      <c r="K467" s="228"/>
    </row>
    <row r="468" spans="1:11" ht="13.5" customHeight="1">
      <c r="A468" s="50">
        <f>IF(A430&gt;=F14,"",IF(2.5&lt;$F$14,2.5,$F$14))</f>
        <v>2.2</v>
      </c>
      <c r="B468" s="50">
        <f t="shared" si="21"/>
        <v>1</v>
      </c>
      <c r="C468" s="138">
        <f t="shared" si="22"/>
        <v>46.473149299392674</v>
      </c>
      <c r="D468" s="138">
        <f t="shared" si="23"/>
        <v>8.616702913278846</v>
      </c>
      <c r="E468" s="50">
        <f t="shared" si="24"/>
        <v>0.1920791692230934</v>
      </c>
      <c r="F468" s="185">
        <f t="shared" si="25"/>
        <v>0.6291749948871466</v>
      </c>
      <c r="G468" s="138">
        <f t="shared" si="26"/>
        <v>46.473149299392674</v>
      </c>
      <c r="H468" s="138">
        <f t="shared" si="27"/>
        <v>3020.0399754583036</v>
      </c>
      <c r="I468" s="70" t="str">
        <f t="shared" si="29"/>
        <v>(Nsd&lt;Nrd)</v>
      </c>
      <c r="J468" s="227" t="str">
        <f t="shared" si="28"/>
        <v>IKANOΠOIEITAI</v>
      </c>
      <c r="K468" s="228"/>
    </row>
    <row r="469" spans="1:11" ht="13.5" customHeight="1">
      <c r="A469" s="50">
        <f>IF(A431&gt;=F14,"",IF(3&lt;$F$14,3,$F$14))</f>
      </c>
      <c r="B469" s="50">
        <f t="shared" si="21"/>
      </c>
      <c r="C469" s="138">
        <f t="shared" si="22"/>
      </c>
      <c r="D469" s="138">
        <f t="shared" si="23"/>
      </c>
      <c r="E469" s="50">
        <f t="shared" si="24"/>
      </c>
      <c r="F469" s="185">
        <f t="shared" si="25"/>
      </c>
      <c r="G469" s="138">
        <f t="shared" si="26"/>
      </c>
      <c r="H469" s="138">
        <f t="shared" si="27"/>
      </c>
      <c r="I469" s="70">
        <f t="shared" si="29"/>
      </c>
      <c r="J469" s="227">
        <f t="shared" si="28"/>
      </c>
      <c r="K469" s="228"/>
    </row>
    <row r="470" spans="1:11" ht="13.5" customHeight="1">
      <c r="A470" s="50">
        <f>IF(A432&gt;=F14,"",IF(3.5&lt;$F$14,3.5,$F$14))</f>
      </c>
      <c r="B470" s="50">
        <f t="shared" si="21"/>
      </c>
      <c r="C470" s="138">
        <f t="shared" si="22"/>
      </c>
      <c r="D470" s="138">
        <f t="shared" si="23"/>
      </c>
      <c r="E470" s="50">
        <f t="shared" si="24"/>
      </c>
      <c r="F470" s="185">
        <f t="shared" si="25"/>
      </c>
      <c r="G470" s="138">
        <f t="shared" si="26"/>
      </c>
      <c r="H470" s="138">
        <f t="shared" si="27"/>
      </c>
      <c r="I470" s="70">
        <f t="shared" si="29"/>
      </c>
      <c r="J470" s="227">
        <f t="shared" si="28"/>
      </c>
      <c r="K470" s="228"/>
    </row>
    <row r="471" spans="1:11" ht="13.5" customHeight="1">
      <c r="A471" s="50">
        <f>IF(A433&gt;=F14,"",IF(4&lt;$F$14,4,$F$14))</f>
      </c>
      <c r="B471" s="50">
        <f t="shared" si="21"/>
      </c>
      <c r="C471" s="138">
        <f t="shared" si="22"/>
      </c>
      <c r="D471" s="138">
        <f t="shared" si="23"/>
      </c>
      <c r="E471" s="50">
        <f t="shared" si="24"/>
      </c>
      <c r="F471" s="185">
        <f t="shared" si="25"/>
      </c>
      <c r="G471" s="138">
        <f t="shared" si="26"/>
      </c>
      <c r="H471" s="138">
        <f t="shared" si="27"/>
      </c>
      <c r="I471" s="70">
        <f t="shared" si="29"/>
      </c>
      <c r="J471" s="227">
        <f t="shared" si="28"/>
      </c>
      <c r="K471" s="228"/>
    </row>
    <row r="472" spans="1:11" ht="13.5" customHeight="1">
      <c r="A472" s="50">
        <f>IF(A434&gt;=F14,"",IF(4.5&lt;$F$14,4.5,$F$14))</f>
      </c>
      <c r="B472" s="50">
        <f t="shared" si="21"/>
      </c>
      <c r="C472" s="138">
        <f t="shared" si="22"/>
      </c>
      <c r="D472" s="138">
        <f t="shared" si="23"/>
      </c>
      <c r="E472" s="50">
        <f t="shared" si="24"/>
      </c>
      <c r="F472" s="185">
        <f t="shared" si="25"/>
      </c>
      <c r="G472" s="138">
        <f t="shared" si="26"/>
      </c>
      <c r="H472" s="138">
        <f t="shared" si="27"/>
      </c>
      <c r="I472" s="70">
        <f t="shared" si="29"/>
      </c>
      <c r="J472" s="227">
        <f t="shared" si="28"/>
      </c>
      <c r="K472" s="228"/>
    </row>
    <row r="473" spans="1:11" ht="13.5" customHeight="1">
      <c r="A473" s="50">
        <f>IF(A434&gt;=F14,"",IF(5&lt;$F$14,5,$F$14))</f>
      </c>
      <c r="B473" s="50">
        <f t="shared" si="21"/>
      </c>
      <c r="C473" s="138">
        <f t="shared" si="22"/>
      </c>
      <c r="D473" s="138">
        <f t="shared" si="23"/>
      </c>
      <c r="E473" s="50">
        <f t="shared" si="24"/>
      </c>
      <c r="F473" s="185">
        <f t="shared" si="25"/>
      </c>
      <c r="G473" s="70"/>
      <c r="H473" s="138">
        <f t="shared" si="27"/>
      </c>
      <c r="I473" s="70">
        <f t="shared" si="29"/>
      </c>
      <c r="J473" s="227">
        <f t="shared" si="28"/>
      </c>
      <c r="K473" s="228"/>
    </row>
    <row r="474" spans="1:11" ht="90" customHeight="1">
      <c r="A474" s="13"/>
      <c r="B474" s="13"/>
      <c r="C474" s="177"/>
      <c r="D474" s="147"/>
      <c r="E474" s="13"/>
      <c r="F474" s="178"/>
      <c r="G474" s="13"/>
      <c r="H474" s="147"/>
      <c r="I474" s="13"/>
      <c r="J474" s="179"/>
      <c r="K474" s="13"/>
    </row>
    <row r="475" spans="1:11" ht="13.5" customHeight="1">
      <c r="A475" s="186" t="s">
        <v>130</v>
      </c>
      <c r="B475" s="13"/>
      <c r="C475" s="177"/>
      <c r="D475" s="147"/>
      <c r="E475" s="13"/>
      <c r="F475" s="178"/>
      <c r="G475" s="13"/>
      <c r="H475" s="147"/>
      <c r="I475" s="13"/>
      <c r="J475" s="179"/>
      <c r="K475" s="13"/>
    </row>
    <row r="476" spans="1:11" ht="13.5" customHeight="1">
      <c r="A476" s="187" t="s">
        <v>271</v>
      </c>
      <c r="B476" s="13"/>
      <c r="C476" s="177"/>
      <c r="D476" s="147"/>
      <c r="E476" s="13"/>
      <c r="F476" s="178"/>
      <c r="G476" s="13"/>
      <c r="H476" s="147"/>
      <c r="I476" s="13"/>
      <c r="J476" s="179"/>
      <c r="K476" s="13"/>
    </row>
    <row r="477" spans="1:11" ht="13.5" customHeight="1">
      <c r="A477" s="187" t="s">
        <v>134</v>
      </c>
      <c r="B477" s="13"/>
      <c r="C477" s="177"/>
      <c r="D477" s="147"/>
      <c r="E477" s="13"/>
      <c r="F477" s="178"/>
      <c r="G477" s="13"/>
      <c r="H477" s="147"/>
      <c r="I477" s="13"/>
      <c r="J477" s="179"/>
      <c r="K477" s="13"/>
    </row>
    <row r="478" spans="1:11" ht="13.5" customHeight="1">
      <c r="A478" s="187" t="s">
        <v>280</v>
      </c>
      <c r="B478" s="13"/>
      <c r="C478" s="177"/>
      <c r="D478" s="147"/>
      <c r="E478" s="13"/>
      <c r="F478" s="178"/>
      <c r="G478" s="13"/>
      <c r="H478" s="147"/>
      <c r="I478" s="13"/>
      <c r="J478" s="179"/>
      <c r="K478" s="13"/>
    </row>
    <row r="479" spans="1:11" ht="13.5" customHeight="1">
      <c r="A479" s="187" t="s">
        <v>259</v>
      </c>
      <c r="B479" s="13"/>
      <c r="C479" s="177"/>
      <c r="D479" s="147"/>
      <c r="E479" s="13"/>
      <c r="F479" s="178"/>
      <c r="G479" s="13"/>
      <c r="H479" s="147"/>
      <c r="I479" s="13"/>
      <c r="J479" s="179"/>
      <c r="K479" s="13"/>
    </row>
    <row r="480" spans="1:11" ht="16.5" customHeight="1">
      <c r="A480" s="187"/>
      <c r="B480" s="13"/>
      <c r="C480" s="177"/>
      <c r="D480" s="147"/>
      <c r="E480" s="13"/>
      <c r="F480" s="178"/>
      <c r="G480" s="13"/>
      <c r="H480" s="147"/>
      <c r="I480" s="13"/>
      <c r="J480" s="179"/>
      <c r="K480" s="13"/>
    </row>
    <row r="481" spans="1:11" ht="13.5" customHeight="1">
      <c r="A481" s="122" t="s">
        <v>226</v>
      </c>
      <c r="B481" s="188" t="s">
        <v>260</v>
      </c>
      <c r="C481" s="122" t="s">
        <v>228</v>
      </c>
      <c r="D481" s="189" t="s">
        <v>281</v>
      </c>
      <c r="E481" s="106" t="s">
        <v>282</v>
      </c>
      <c r="F481" s="168" t="s">
        <v>283</v>
      </c>
      <c r="G481" s="234" t="s">
        <v>129</v>
      </c>
      <c r="H481" s="235"/>
      <c r="I481" s="236"/>
      <c r="J481" s="179"/>
      <c r="K481" s="13"/>
    </row>
    <row r="482" spans="1:11" ht="13.5" customHeight="1">
      <c r="A482" s="123" t="s">
        <v>53</v>
      </c>
      <c r="B482" s="190" t="s">
        <v>53</v>
      </c>
      <c r="C482" s="68" t="s">
        <v>92</v>
      </c>
      <c r="D482" s="191" t="s">
        <v>93</v>
      </c>
      <c r="E482" s="192" t="s">
        <v>92</v>
      </c>
      <c r="F482" s="193" t="s">
        <v>92</v>
      </c>
      <c r="G482" s="240"/>
      <c r="H482" s="241"/>
      <c r="I482" s="242"/>
      <c r="J482" s="179"/>
      <c r="K482" s="13"/>
    </row>
    <row r="483" spans="1:11" ht="13.5" customHeight="1">
      <c r="A483" s="50">
        <v>0</v>
      </c>
      <c r="B483" s="50">
        <f>F76</f>
        <v>0</v>
      </c>
      <c r="C483" s="138"/>
      <c r="D483" s="138"/>
      <c r="E483" s="50"/>
      <c r="F483" s="139"/>
      <c r="G483" s="138"/>
      <c r="H483" s="231"/>
      <c r="I483" s="232"/>
      <c r="J483" s="179"/>
      <c r="K483" s="13"/>
    </row>
    <row r="484" spans="1:11" ht="13.5" customHeight="1">
      <c r="A484" s="50">
        <f>IF(A426&gt;=F14,"",IF(0.5&lt;$F$14,0.5,$F$14))</f>
        <v>0.5</v>
      </c>
      <c r="B484" s="50">
        <f aca="true" t="shared" si="30" ref="B484:B493">IF(A427="","",$C$426+A427*TAN(RADIANS($F$18))+A427*TAN(RADIANS($F$15)))</f>
        <v>0.6136363636363636</v>
      </c>
      <c r="C484" s="138">
        <f aca="true" t="shared" si="31" ref="C484:C493">IF(A427="","",1.35*($F$21*$H$120*A427*COS(RADIANS($F$71))+($F$66*A427*$H$120)*A427*COS(RADIANS($F$71))/2)+1.5*($F$22*$H$120*A427*COS(RADIANS($F$71))))</f>
        <v>1.7333169385854583</v>
      </c>
      <c r="D484" s="50">
        <f>IF(A484="","",C464/(1000*B464))</f>
        <v>0.012099459201945596</v>
      </c>
      <c r="E484" s="138">
        <f aca="true" t="shared" si="32" ref="E484:E493">IF(A427="","",1.35*($F$21*$H$120*A427*COS(RADIANS($F$71))+($F$66*A427*$H$120)*A427*COS(RADIANS($F$71))/2)+1.5*($F$22*$H$120*A427*COS(RADIANS($F$71))))</f>
        <v>1.7333169385854583</v>
      </c>
      <c r="F484" s="205">
        <f>IF(A484="","",1000*(0.2+0.4*D484)*B484/2.5)</f>
        <v>50.27885599437284</v>
      </c>
      <c r="G484" s="70" t="str">
        <f>IF(E484&lt;F484,"(Vsd&lt;Vrd)","")</f>
        <v>(Vsd&lt;Vrd)</v>
      </c>
      <c r="H484" s="229" t="str">
        <f aca="true" t="shared" si="33" ref="H484:H493">IF(A427="","",IF(E484&lt;F484,"IKANOΠOIEITAI","ΔEN IKANOΠOIEITAI"))</f>
        <v>IKANOΠOIEITAI</v>
      </c>
      <c r="I484" s="230"/>
      <c r="J484" s="179"/>
      <c r="K484" s="13"/>
    </row>
    <row r="485" spans="1:11" ht="13.5" customHeight="1">
      <c r="A485" s="50">
        <f>IF(A427&gt;=F14,"",IF(1&lt;$F$14,1,$F$14))</f>
        <v>1</v>
      </c>
      <c r="B485" s="50">
        <f t="shared" si="30"/>
        <v>0.7272727272727273</v>
      </c>
      <c r="C485" s="138">
        <f t="shared" si="31"/>
        <v>5.053059549774556</v>
      </c>
      <c r="D485" s="50">
        <f aca="true" t="shared" si="34" ref="D485:D493">IF(A485="","",C465/(1000*B465))</f>
        <v>0.02295544943529414</v>
      </c>
      <c r="E485" s="138">
        <f t="shared" si="32"/>
        <v>5.053059549774556</v>
      </c>
      <c r="F485" s="205">
        <f aca="true" t="shared" si="35" ref="F485:F493">IF(A485="","",1000*(0.2+0.4*D485)*B485/2.5)</f>
        <v>60.85299775247059</v>
      </c>
      <c r="G485" s="70" t="str">
        <f aca="true" t="shared" si="36" ref="G485:G493">IF(E485&lt;F485,"(Vsd&lt;Vrd)","")</f>
        <v>(Vsd&lt;Vrd)</v>
      </c>
      <c r="H485" s="229" t="str">
        <f t="shared" si="33"/>
        <v>IKANOΠOIEITAI</v>
      </c>
      <c r="I485" s="230"/>
      <c r="J485" s="179"/>
      <c r="K485" s="13"/>
    </row>
    <row r="486" spans="1:11" ht="13.5" customHeight="1">
      <c r="A486" s="50">
        <f>IF(A428&gt;=F14,"",IF(1.5&lt;$F$14,1.5,$F$14))</f>
        <v>1.5</v>
      </c>
      <c r="B486" s="50">
        <f t="shared" si="30"/>
        <v>0.8409090909090908</v>
      </c>
      <c r="C486" s="138">
        <f t="shared" si="31"/>
        <v>9.959227833567294</v>
      </c>
      <c r="D486" s="50">
        <f t="shared" si="34"/>
        <v>0.03307207974136876</v>
      </c>
      <c r="E486" s="138">
        <f t="shared" si="32"/>
        <v>9.959227833567294</v>
      </c>
      <c r="F486" s="205">
        <f t="shared" si="35"/>
        <v>71.72242527429326</v>
      </c>
      <c r="G486" s="70" t="str">
        <f t="shared" si="36"/>
        <v>(Vsd&lt;Vrd)</v>
      </c>
      <c r="H486" s="229" t="str">
        <f t="shared" si="33"/>
        <v>IKANOΠOIEITAI</v>
      </c>
      <c r="I486" s="230"/>
      <c r="J486" s="179"/>
      <c r="K486" s="13"/>
    </row>
    <row r="487" spans="1:11" ht="13.5" customHeight="1">
      <c r="A487" s="50">
        <f>IF(A429&gt;=F14,"",IF(2&lt;$F$14,2,$F$14))</f>
        <v>2</v>
      </c>
      <c r="B487" s="50">
        <f t="shared" si="30"/>
        <v>0.9545454545454546</v>
      </c>
      <c r="C487" s="138">
        <f t="shared" si="31"/>
        <v>16.45182178996367</v>
      </c>
      <c r="D487" s="50">
        <f t="shared" si="34"/>
        <v>0.04271340723705301</v>
      </c>
      <c r="E487" s="138">
        <f t="shared" si="32"/>
        <v>16.45182178996367</v>
      </c>
      <c r="F487" s="205">
        <f t="shared" si="35"/>
        <v>82.88713855984084</v>
      </c>
      <c r="G487" s="70" t="str">
        <f t="shared" si="36"/>
        <v>(Vsd&lt;Vrd)</v>
      </c>
      <c r="H487" s="229" t="str">
        <f t="shared" si="33"/>
        <v>IKANOΠOIEITAI</v>
      </c>
      <c r="I487" s="230"/>
      <c r="J487" s="179"/>
      <c r="K487" s="13"/>
    </row>
    <row r="488" spans="1:11" ht="13.5" customHeight="1">
      <c r="A488" s="50">
        <f>IF(A430&gt;=F14,"",IF(2.5&lt;$F$14,2.5,$F$14))</f>
        <v>2.2</v>
      </c>
      <c r="B488" s="50">
        <f t="shared" si="30"/>
        <v>1</v>
      </c>
      <c r="C488" s="138">
        <f t="shared" si="31"/>
        <v>19.493058560851246</v>
      </c>
      <c r="D488" s="50">
        <f t="shared" si="34"/>
        <v>0.046473149299392676</v>
      </c>
      <c r="E488" s="138">
        <f t="shared" si="32"/>
        <v>19.493058560851246</v>
      </c>
      <c r="F488" s="205">
        <f t="shared" si="35"/>
        <v>87.43570388790283</v>
      </c>
      <c r="G488" s="70" t="str">
        <f t="shared" si="36"/>
        <v>(Vsd&lt;Vrd)</v>
      </c>
      <c r="H488" s="229" t="str">
        <f t="shared" si="33"/>
        <v>IKANOΠOIEITAI</v>
      </c>
      <c r="I488" s="230"/>
      <c r="J488" s="179"/>
      <c r="K488" s="13"/>
    </row>
    <row r="489" spans="1:11" ht="13.5" customHeight="1">
      <c r="A489" s="50">
        <f>IF(A431&gt;=F14,"",IF(3&lt;$F$14,3,$F$14))</f>
      </c>
      <c r="B489" s="50">
        <f t="shared" si="30"/>
      </c>
      <c r="C489" s="138">
        <f t="shared" si="31"/>
      </c>
      <c r="D489" s="50">
        <f t="shared" si="34"/>
      </c>
      <c r="E489" s="138">
        <f t="shared" si="32"/>
      </c>
      <c r="F489" s="205">
        <f t="shared" si="35"/>
      </c>
      <c r="G489" s="70">
        <f t="shared" si="36"/>
      </c>
      <c r="H489" s="229">
        <f t="shared" si="33"/>
      </c>
      <c r="I489" s="230"/>
      <c r="J489" s="179"/>
      <c r="K489" s="13"/>
    </row>
    <row r="490" spans="1:11" ht="13.5" customHeight="1">
      <c r="A490" s="50">
        <f>IF(A432&gt;=F14,"",IF(3.5&lt;$F$14,3.5,$F$14))</f>
      </c>
      <c r="B490" s="50">
        <f t="shared" si="30"/>
      </c>
      <c r="C490" s="138">
        <f t="shared" si="31"/>
      </c>
      <c r="D490" s="50">
        <f t="shared" si="34"/>
      </c>
      <c r="E490" s="138">
        <f t="shared" si="32"/>
      </c>
      <c r="F490" s="205">
        <f t="shared" si="35"/>
      </c>
      <c r="G490" s="70">
        <f t="shared" si="36"/>
      </c>
      <c r="H490" s="229">
        <f t="shared" si="33"/>
      </c>
      <c r="I490" s="230"/>
      <c r="J490" s="179"/>
      <c r="K490" s="13"/>
    </row>
    <row r="491" spans="1:11" ht="13.5" customHeight="1">
      <c r="A491" s="50">
        <f>IF(A433&gt;=F14,"",IF(4&lt;$F$14,4,$F$14))</f>
      </c>
      <c r="B491" s="50">
        <f t="shared" si="30"/>
      </c>
      <c r="C491" s="138">
        <f t="shared" si="31"/>
      </c>
      <c r="D491" s="50">
        <f t="shared" si="34"/>
      </c>
      <c r="E491" s="138">
        <f t="shared" si="32"/>
      </c>
      <c r="F491" s="205">
        <f t="shared" si="35"/>
      </c>
      <c r="G491" s="70">
        <f t="shared" si="36"/>
      </c>
      <c r="H491" s="229">
        <f t="shared" si="33"/>
      </c>
      <c r="I491" s="230"/>
      <c r="J491" s="179"/>
      <c r="K491" s="13"/>
    </row>
    <row r="492" spans="1:11" ht="13.5" customHeight="1">
      <c r="A492" s="50">
        <f>IF(A434&gt;=F14,"",IF(4.5&lt;$F$14,4.5,$F$14))</f>
      </c>
      <c r="B492" s="50">
        <f t="shared" si="30"/>
      </c>
      <c r="C492" s="138">
        <f t="shared" si="31"/>
      </c>
      <c r="D492" s="50">
        <f t="shared" si="34"/>
      </c>
      <c r="E492" s="138">
        <f t="shared" si="32"/>
      </c>
      <c r="F492" s="205">
        <f t="shared" si="35"/>
      </c>
      <c r="G492" s="70">
        <f t="shared" si="36"/>
      </c>
      <c r="H492" s="229">
        <f t="shared" si="33"/>
      </c>
      <c r="I492" s="230"/>
      <c r="J492" s="179"/>
      <c r="K492" s="13"/>
    </row>
    <row r="493" spans="1:11" ht="13.5" customHeight="1">
      <c r="A493" s="50">
        <f>IF(A434&gt;=F14,"",IF(5&lt;$F$14,5,$F$14))</f>
      </c>
      <c r="B493" s="50">
        <f t="shared" si="30"/>
      </c>
      <c r="C493" s="138">
        <f t="shared" si="31"/>
      </c>
      <c r="D493" s="50">
        <f t="shared" si="34"/>
      </c>
      <c r="E493" s="138">
        <f t="shared" si="32"/>
      </c>
      <c r="F493" s="205">
        <f t="shared" si="35"/>
      </c>
      <c r="G493" s="70">
        <f t="shared" si="36"/>
      </c>
      <c r="H493" s="229">
        <f t="shared" si="33"/>
      </c>
      <c r="I493" s="230"/>
      <c r="J493" s="179"/>
      <c r="K493" s="13"/>
    </row>
    <row r="494" spans="1:11" ht="13.5" customHeight="1">
      <c r="A494" s="176"/>
      <c r="B494" s="176"/>
      <c r="C494" s="175"/>
      <c r="D494" s="147"/>
      <c r="E494" s="175"/>
      <c r="F494" s="178"/>
      <c r="G494" s="13"/>
      <c r="H494" s="194"/>
      <c r="I494" s="13"/>
      <c r="J494" s="179"/>
      <c r="K494" s="13"/>
    </row>
    <row r="495" ht="19.5" customHeight="1">
      <c r="A495" s="127" t="s">
        <v>156</v>
      </c>
    </row>
    <row r="496" spans="1:11" ht="13.5" customHeight="1">
      <c r="A496" s="122" t="s">
        <v>226</v>
      </c>
      <c r="B496" s="122" t="s">
        <v>50</v>
      </c>
      <c r="C496" s="122" t="s">
        <v>227</v>
      </c>
      <c r="D496" s="122" t="s">
        <v>228</v>
      </c>
      <c r="E496" s="122" t="s">
        <v>229</v>
      </c>
      <c r="F496" s="122" t="s">
        <v>269</v>
      </c>
      <c r="G496" s="122" t="s">
        <v>87</v>
      </c>
      <c r="H496" s="122" t="s">
        <v>88</v>
      </c>
      <c r="I496" s="122" t="s">
        <v>89</v>
      </c>
      <c r="J496" s="122" t="s">
        <v>90</v>
      </c>
      <c r="K496" s="122" t="s">
        <v>91</v>
      </c>
    </row>
    <row r="497" spans="1:11" ht="13.5" customHeight="1">
      <c r="A497" s="123" t="s">
        <v>53</v>
      </c>
      <c r="B497" s="123" t="s">
        <v>53</v>
      </c>
      <c r="C497" s="123" t="s">
        <v>53</v>
      </c>
      <c r="D497" s="137" t="s">
        <v>92</v>
      </c>
      <c r="E497" s="137" t="s">
        <v>92</v>
      </c>
      <c r="F497" s="137" t="s">
        <v>270</v>
      </c>
      <c r="G497" s="123"/>
      <c r="H497" s="123" t="s">
        <v>93</v>
      </c>
      <c r="I497" s="123" t="s">
        <v>93</v>
      </c>
      <c r="J497" s="123"/>
      <c r="K497" s="123" t="s">
        <v>93</v>
      </c>
    </row>
    <row r="498" spans="1:11" ht="13.5" customHeight="1">
      <c r="A498" s="138">
        <v>0</v>
      </c>
      <c r="B498" s="50">
        <v>0</v>
      </c>
      <c r="C498" s="50">
        <f>F6</f>
        <v>0.5</v>
      </c>
      <c r="D498" s="70"/>
      <c r="E498" s="70"/>
      <c r="F498" s="70"/>
      <c r="G498" s="70"/>
      <c r="H498" s="70"/>
      <c r="I498" s="70"/>
      <c r="J498" s="70"/>
      <c r="K498" s="70"/>
    </row>
    <row r="499" spans="1:11" ht="13.5" customHeight="1">
      <c r="A499" s="138">
        <f>IF(A498&gt;=F14,"",IF(0.5&lt;$F$14,0.5,$F$14))</f>
        <v>0.5</v>
      </c>
      <c r="B499" s="50">
        <f aca="true" t="shared" si="37" ref="B499:B508">IF(A499="","",C499/2-A499*TAN(RADIANS($F$15)))</f>
        <v>0.3068181818181818</v>
      </c>
      <c r="C499" s="50">
        <f aca="true" t="shared" si="38" ref="C499:C508">IF(A499="","",$C$426+A499*TAN(RADIANS($F$18))+A499*TAN(RADIANS($F$15)))</f>
        <v>0.6136363636363636</v>
      </c>
      <c r="D499" s="138">
        <f aca="true" t="shared" si="39" ref="D499:D508">IF(A499="","",$F$81*(0.5*($C$498+C499)*A499*$F$85)+(1+$H$154)*($F$66*$H$120*A499)*A499/2*COS(RADIANS($F$71))+(1+$H$154)*$F$21*$H$120*A499*COS(RADIANS($F$71))+(1+$H$154)*$F$22*$H$120*A499*COS(RADIANS($F$71))+$F$81*$F$25+$F$81*$F$26)</f>
        <v>2.9803987218035757</v>
      </c>
      <c r="E499" s="138">
        <f aca="true" t="shared" si="40" ref="E499:E508">IF(A499="","",0.5*($C$498+C499)*A499*$F$85-$F$82*(0.5*($C$498+C499)*A499*$F$85)+$F$66*$H$120*A499*(A499/2)*SIN(RADIANS($F$71))+$F$21*$H$120*A499*SIN(RADIANS($F$71))+$F$22*$H$120*A499*SIN(RADIANS($F$71))+(1-$F$82)*$F$25+(1-$F$82)*$F$26)</f>
        <v>6.735777324600317</v>
      </c>
      <c r="F499" s="138">
        <f aca="true" t="shared" si="41" ref="F499:F508">IF(A499="","",(1+$H$154)*$F$66*$H$120*A499*(A499/2)*COS(RADIANS($F$71))*(A499/3)+$F$81*(0.5*($C$498+C499)*A499*$F$85)*((2*$C$498+C499)/(3*($C$498+C499)))*A499-$F$66*$H$120*A499*(A499/2)*SIN(RADIANS($F$71))*C499/2+(0.5*($C$498+C499)*A499*$F$85)*(1-$F$82)*((($C$498^2+$C$498*C499+C499^2)/(3*($C$498+C499)))-C499/2)+(1+$H$154)*$F$21*$H$120*A499*COS(RADIANS($F$71))*A499/2-$F$21*$H$120*A499*SIN(RADIANS($F$71))*C499/2+(1+$H$154)*$F$22*$H$120*A499*COS(RADIANS($F$71))*A499/2-$F$22*$H$120*A499*SIN(RADIANS($F$71))*C499/2+$H$350*A499+$H$362*A499-$I$361*(C499/2-$F$27)-$I$362*(C499/2-$F$27))</f>
        <v>0.38423793359996344</v>
      </c>
      <c r="G499" s="50">
        <f>IF(A499="","",-(F499/E499)/C499)</f>
        <v>-0.09296113740804482</v>
      </c>
      <c r="H499" s="50">
        <f>IF(A499="","",-E499/C499*(1-6*G499)/1000)</f>
        <v>-0.017099329627328328</v>
      </c>
      <c r="I499" s="50">
        <f>IF(A499="","",-(E499/C499*(1+6*G499))/1000)</f>
        <v>-0.004854314986183815</v>
      </c>
      <c r="J499" s="50">
        <f>IF(A499="","",IF(H499*I499&gt;0,1,3*(C499/2-F499/E499)/$F$17))</f>
        <v>1</v>
      </c>
      <c r="K499" s="50">
        <f aca="true" t="shared" si="42" ref="K499:K508">IF(A499="","",(D499-F499/C499*TAN(RADIANS($F$18)))/(1*0.875*C499*1000))</f>
        <v>0.005285751896090399</v>
      </c>
    </row>
    <row r="500" spans="1:11" ht="13.5" customHeight="1">
      <c r="A500" s="138">
        <f>IF(A499&gt;=F14,"",IF(1&lt;$F$14,1,$F$14))</f>
        <v>1</v>
      </c>
      <c r="B500" s="50">
        <f t="shared" si="37"/>
        <v>0.36363636363636365</v>
      </c>
      <c r="C500" s="50">
        <f t="shared" si="38"/>
        <v>0.7272727272727273</v>
      </c>
      <c r="D500" s="138">
        <f t="shared" si="39"/>
        <v>7.956581878617237</v>
      </c>
      <c r="E500" s="138">
        <f t="shared" si="40"/>
        <v>15.093247999778923</v>
      </c>
      <c r="F500" s="138">
        <f t="shared" si="41"/>
        <v>2.204396579509616</v>
      </c>
      <c r="G500" s="50">
        <f aca="true" t="shared" si="43" ref="G500:G508">IF(A500="","",-(F500/E500)/C500)</f>
        <v>-0.20082127431220362</v>
      </c>
      <c r="H500" s="50">
        <f aca="true" t="shared" si="44" ref="H500:H508">IF(A500="","",-E500/C500*(1-6*G500)/1000)</f>
        <v>-0.04575933969850822</v>
      </c>
      <c r="I500" s="50">
        <f aca="true" t="shared" si="45" ref="I500:I508">IF(A500="","",-(E500/C500*(1+6*G500))/1000)</f>
        <v>0.0042529076991161836</v>
      </c>
      <c r="J500" s="50">
        <f aca="true" t="shared" si="46" ref="J500:J508">IF(A500="","",IF(H500*I500&gt;0,1,3*(C500/2-F500/E500)/$F$17))</f>
        <v>0.43516905554588564</v>
      </c>
      <c r="K500" s="50">
        <f t="shared" si="42"/>
        <v>0.011420683917532185</v>
      </c>
    </row>
    <row r="501" spans="1:11" ht="13.5" customHeight="1">
      <c r="A501" s="138">
        <f>IF(A500&gt;=F14,"",IF(1.5&lt;$F$14,1.5,$F$14))</f>
        <v>1.5</v>
      </c>
      <c r="B501" s="50">
        <f t="shared" si="37"/>
        <v>0.4204545454545454</v>
      </c>
      <c r="C501" s="50">
        <f t="shared" si="38"/>
        <v>0.8409090909090908</v>
      </c>
      <c r="D501" s="138">
        <f t="shared" si="39"/>
        <v>14.928549470440986</v>
      </c>
      <c r="E501" s="138">
        <f t="shared" si="40"/>
        <v>25.072412025535815</v>
      </c>
      <c r="F501" s="138">
        <f t="shared" si="41"/>
        <v>6.33044521841022</v>
      </c>
      <c r="G501" s="50">
        <f t="shared" si="43"/>
        <v>-0.3002542000674125</v>
      </c>
      <c r="H501" s="50">
        <f t="shared" si="44"/>
        <v>-0.08352983085071253</v>
      </c>
      <c r="I501" s="50">
        <f t="shared" si="45"/>
        <v>0.023898148195384092</v>
      </c>
      <c r="J501" s="50">
        <f t="shared" si="46"/>
        <v>0.3359361180684426</v>
      </c>
      <c r="K501" s="50">
        <f t="shared" si="42"/>
        <v>0.017963712943151355</v>
      </c>
    </row>
    <row r="502" spans="1:11" ht="13.5" customHeight="1">
      <c r="A502" s="138">
        <f>IF(A501&gt;=F14,"",IF(2&lt;$F$14,2,$F$14))</f>
        <v>2</v>
      </c>
      <c r="B502" s="50">
        <f t="shared" si="37"/>
        <v>0.4772727272727273</v>
      </c>
      <c r="C502" s="50">
        <f t="shared" si="38"/>
        <v>0.9545454545454546</v>
      </c>
      <c r="D502" s="138">
        <f t="shared" si="39"/>
        <v>23.896301497274816</v>
      </c>
      <c r="E502" s="138">
        <f t="shared" si="40"/>
        <v>36.673269401871</v>
      </c>
      <c r="F502" s="138">
        <f t="shared" si="41"/>
        <v>13.632353130983041</v>
      </c>
      <c r="G502" s="50">
        <f t="shared" si="43"/>
        <v>-0.38942567807053435</v>
      </c>
      <c r="H502" s="50">
        <f t="shared" si="44"/>
        <v>-0.12818912461686885</v>
      </c>
      <c r="I502" s="50">
        <f t="shared" si="45"/>
        <v>0.05134989348913911</v>
      </c>
      <c r="J502" s="50">
        <f t="shared" si="46"/>
        <v>0.21109643277443446</v>
      </c>
      <c r="K502" s="50">
        <f t="shared" si="42"/>
        <v>0.024724411914046857</v>
      </c>
    </row>
    <row r="503" spans="1:11" ht="13.5" customHeight="1">
      <c r="A503" s="138">
        <f>IF(A502&gt;=F14,"",IF(2.5&lt;$F$14,2.5,$F$14))</f>
        <v>2.2</v>
      </c>
      <c r="B503" s="50">
        <f t="shared" si="37"/>
        <v>0.5</v>
      </c>
      <c r="C503" s="50">
        <f t="shared" si="38"/>
        <v>1</v>
      </c>
      <c r="D503" s="138">
        <f t="shared" si="39"/>
        <v>28.04222194981118</v>
      </c>
      <c r="E503" s="138">
        <f t="shared" si="40"/>
        <v>41.767686490567</v>
      </c>
      <c r="F503" s="138">
        <f t="shared" si="41"/>
        <v>17.637230011513</v>
      </c>
      <c r="G503" s="50">
        <f t="shared" si="43"/>
        <v>-0.42226973752774816</v>
      </c>
      <c r="H503" s="50">
        <f t="shared" si="44"/>
        <v>-0.147591066559645</v>
      </c>
      <c r="I503" s="50">
        <f t="shared" si="45"/>
        <v>0.064055693578511</v>
      </c>
      <c r="J503" s="50">
        <f t="shared" si="46"/>
        <v>0.1554605249445037</v>
      </c>
      <c r="K503" s="50">
        <f t="shared" si="42"/>
        <v>0.02746715495263797</v>
      </c>
    </row>
    <row r="504" spans="1:11" ht="13.5" customHeight="1">
      <c r="A504" s="138">
        <f>IF(A503&gt;=F14,"",IF(3&lt;$F$14,3,$F$14))</f>
      </c>
      <c r="B504" s="50">
        <f t="shared" si="37"/>
      </c>
      <c r="C504" s="50">
        <f t="shared" si="38"/>
      </c>
      <c r="D504" s="138">
        <f t="shared" si="39"/>
      </c>
      <c r="E504" s="138">
        <f t="shared" si="40"/>
      </c>
      <c r="F504" s="138">
        <f t="shared" si="41"/>
      </c>
      <c r="G504" s="50">
        <f t="shared" si="43"/>
      </c>
      <c r="H504" s="50">
        <f t="shared" si="44"/>
      </c>
      <c r="I504" s="50">
        <f t="shared" si="45"/>
      </c>
      <c r="J504" s="50">
        <f t="shared" si="46"/>
      </c>
      <c r="K504" s="50">
        <f t="shared" si="42"/>
      </c>
    </row>
    <row r="505" spans="1:11" ht="13.5" customHeight="1">
      <c r="A505" s="138">
        <f>IF(A504&gt;=F14,"",IF(3.5&lt;$F$14,3.5,$F$14))</f>
      </c>
      <c r="B505" s="50">
        <f t="shared" si="37"/>
      </c>
      <c r="C505" s="50">
        <f t="shared" si="38"/>
      </c>
      <c r="D505" s="138">
        <f t="shared" si="39"/>
      </c>
      <c r="E505" s="138">
        <f t="shared" si="40"/>
      </c>
      <c r="F505" s="138">
        <f t="shared" si="41"/>
      </c>
      <c r="G505" s="50">
        <f t="shared" si="43"/>
      </c>
      <c r="H505" s="50">
        <f t="shared" si="44"/>
      </c>
      <c r="I505" s="50">
        <f t="shared" si="45"/>
      </c>
      <c r="J505" s="50">
        <f t="shared" si="46"/>
      </c>
      <c r="K505" s="50">
        <f t="shared" si="42"/>
      </c>
    </row>
    <row r="506" spans="1:11" ht="13.5" customHeight="1">
      <c r="A506" s="138">
        <f>IF(A505&gt;=F14,"",IF(4&lt;$F$14,4,$F$14))</f>
      </c>
      <c r="B506" s="50">
        <f t="shared" si="37"/>
      </c>
      <c r="C506" s="50">
        <f t="shared" si="38"/>
      </c>
      <c r="D506" s="138">
        <f t="shared" si="39"/>
      </c>
      <c r="E506" s="138">
        <f t="shared" si="40"/>
      </c>
      <c r="F506" s="138">
        <f t="shared" si="41"/>
      </c>
      <c r="G506" s="50">
        <f t="shared" si="43"/>
      </c>
      <c r="H506" s="50">
        <f t="shared" si="44"/>
      </c>
      <c r="I506" s="50">
        <f t="shared" si="45"/>
      </c>
      <c r="J506" s="50">
        <f t="shared" si="46"/>
      </c>
      <c r="K506" s="50">
        <f t="shared" si="42"/>
      </c>
    </row>
    <row r="507" spans="1:11" ht="13.5" customHeight="1">
      <c r="A507" s="138">
        <f>IF(A506&gt;=F14,"",IF(4.5&lt;$F$14,4.5,$F$14))</f>
      </c>
      <c r="B507" s="50">
        <f t="shared" si="37"/>
      </c>
      <c r="C507" s="50">
        <f t="shared" si="38"/>
      </c>
      <c r="D507" s="138">
        <f t="shared" si="39"/>
      </c>
      <c r="E507" s="138">
        <f t="shared" si="40"/>
      </c>
      <c r="F507" s="138">
        <f t="shared" si="41"/>
      </c>
      <c r="G507" s="50">
        <f t="shared" si="43"/>
      </c>
      <c r="H507" s="50">
        <f t="shared" si="44"/>
      </c>
      <c r="I507" s="50">
        <f t="shared" si="45"/>
      </c>
      <c r="J507" s="50">
        <f t="shared" si="46"/>
      </c>
      <c r="K507" s="50">
        <f t="shared" si="42"/>
      </c>
    </row>
    <row r="508" spans="1:11" ht="13.5" customHeight="1">
      <c r="A508" s="138">
        <f>IF(A506&gt;=F14,"",IF(5&lt;$F$14,5,$F$14))</f>
      </c>
      <c r="B508" s="50">
        <f t="shared" si="37"/>
      </c>
      <c r="C508" s="50">
        <f t="shared" si="38"/>
      </c>
      <c r="D508" s="138">
        <f t="shared" si="39"/>
      </c>
      <c r="E508" s="138">
        <f t="shared" si="40"/>
      </c>
      <c r="F508" s="138">
        <f t="shared" si="41"/>
      </c>
      <c r="G508" s="50">
        <f t="shared" si="43"/>
      </c>
      <c r="H508" s="50">
        <f t="shared" si="44"/>
      </c>
      <c r="I508" s="50">
        <f t="shared" si="45"/>
      </c>
      <c r="J508" s="50">
        <f t="shared" si="46"/>
      </c>
      <c r="K508" s="50">
        <f t="shared" si="42"/>
      </c>
    </row>
    <row r="509" spans="1:11" ht="13.5" customHeight="1">
      <c r="A509" s="175"/>
      <c r="B509" s="176"/>
      <c r="C509" s="176"/>
      <c r="D509" s="175"/>
      <c r="E509" s="175"/>
      <c r="F509" s="175"/>
      <c r="G509" s="176"/>
      <c r="H509" s="176"/>
      <c r="I509" s="176"/>
      <c r="J509" s="176"/>
      <c r="K509" s="176"/>
    </row>
    <row r="510" spans="1:12" ht="13.5" customHeight="1">
      <c r="A510" s="249" t="s">
        <v>105</v>
      </c>
      <c r="B510" s="249"/>
      <c r="C510" s="249"/>
      <c r="D510" s="249"/>
      <c r="E510" s="249" t="s">
        <v>106</v>
      </c>
      <c r="F510" s="249"/>
      <c r="G510" s="249"/>
      <c r="H510" s="249"/>
      <c r="I510" s="250" t="s">
        <v>107</v>
      </c>
      <c r="J510" s="250"/>
      <c r="K510" s="250"/>
      <c r="L510" s="250"/>
    </row>
    <row r="511" spans="1:11" ht="13.5" customHeight="1">
      <c r="A511" s="175"/>
      <c r="B511" s="176"/>
      <c r="C511" s="176"/>
      <c r="D511" s="175"/>
      <c r="E511" s="175"/>
      <c r="F511" s="175"/>
      <c r="G511" s="176"/>
      <c r="H511" s="176"/>
      <c r="I511" s="176"/>
      <c r="J511" s="176"/>
      <c r="K511" s="176"/>
    </row>
    <row r="512" spans="1:11" ht="13.5" customHeight="1">
      <c r="A512" s="175"/>
      <c r="B512" s="176"/>
      <c r="C512" s="176"/>
      <c r="D512" s="175"/>
      <c r="E512" s="175"/>
      <c r="F512" s="175"/>
      <c r="G512" s="176"/>
      <c r="H512" s="176"/>
      <c r="I512" s="176"/>
      <c r="J512" s="176"/>
      <c r="K512" s="176"/>
    </row>
    <row r="513" spans="1:11" ht="13.5" customHeight="1">
      <c r="A513" s="175"/>
      <c r="B513" s="176"/>
      <c r="C513" s="176"/>
      <c r="D513" s="175"/>
      <c r="E513" s="175"/>
      <c r="F513" s="175"/>
      <c r="G513" s="176"/>
      <c r="H513" s="176"/>
      <c r="I513" s="176"/>
      <c r="J513" s="176"/>
      <c r="K513" s="176"/>
    </row>
    <row r="514" spans="1:11" ht="13.5" customHeight="1">
      <c r="A514" s="175"/>
      <c r="B514" s="176"/>
      <c r="C514" s="176"/>
      <c r="D514" s="175"/>
      <c r="E514" s="175"/>
      <c r="F514" s="175"/>
      <c r="G514" s="176"/>
      <c r="H514" s="176"/>
      <c r="I514" s="176"/>
      <c r="J514" s="176"/>
      <c r="K514" s="176"/>
    </row>
    <row r="515" spans="1:11" ht="13.5" customHeight="1">
      <c r="A515" s="175"/>
      <c r="B515" s="176"/>
      <c r="C515" s="176"/>
      <c r="D515" s="175"/>
      <c r="E515" s="175"/>
      <c r="F515" s="175"/>
      <c r="G515" s="176"/>
      <c r="H515" s="176"/>
      <c r="I515" s="176"/>
      <c r="J515" s="176"/>
      <c r="K515" s="176"/>
    </row>
    <row r="516" spans="1:11" ht="13.5" customHeight="1">
      <c r="A516" s="175"/>
      <c r="B516" s="176"/>
      <c r="C516" s="176"/>
      <c r="D516" s="175"/>
      <c r="E516" s="175"/>
      <c r="F516" s="175"/>
      <c r="G516" s="176"/>
      <c r="H516" s="176"/>
      <c r="I516" s="176"/>
      <c r="J516" s="176"/>
      <c r="K516" s="176"/>
    </row>
    <row r="517" spans="1:11" ht="13.5" customHeight="1">
      <c r="A517" s="175"/>
      <c r="B517" s="176"/>
      <c r="C517" s="176"/>
      <c r="D517" s="175"/>
      <c r="E517" s="175"/>
      <c r="F517" s="175"/>
      <c r="G517" s="176"/>
      <c r="H517" s="176"/>
      <c r="I517" s="176"/>
      <c r="J517" s="176"/>
      <c r="K517" s="176"/>
    </row>
    <row r="518" spans="1:11" ht="13.5" customHeight="1">
      <c r="A518" s="175"/>
      <c r="B518" s="176"/>
      <c r="C518" s="176"/>
      <c r="D518" s="175"/>
      <c r="E518" s="175"/>
      <c r="F518" s="175"/>
      <c r="G518" s="176"/>
      <c r="H518" s="176"/>
      <c r="I518" s="176"/>
      <c r="J518" s="176"/>
      <c r="K518" s="176"/>
    </row>
    <row r="519" spans="1:11" ht="13.5" customHeight="1">
      <c r="A519" s="175"/>
      <c r="B519" s="176"/>
      <c r="C519" s="176"/>
      <c r="D519" s="175"/>
      <c r="E519" s="175"/>
      <c r="F519" s="175"/>
      <c r="G519" s="176"/>
      <c r="H519" s="176"/>
      <c r="I519" s="176"/>
      <c r="J519" s="176"/>
      <c r="K519" s="176"/>
    </row>
    <row r="520" spans="1:11" ht="13.5" customHeight="1">
      <c r="A520" s="175"/>
      <c r="B520" s="176"/>
      <c r="C520" s="176"/>
      <c r="D520" s="175"/>
      <c r="E520" s="175"/>
      <c r="F520" s="175"/>
      <c r="G520" s="176"/>
      <c r="H520" s="176"/>
      <c r="I520" s="176"/>
      <c r="J520" s="176"/>
      <c r="K520" s="176"/>
    </row>
    <row r="521" spans="1:11" ht="13.5" customHeight="1">
      <c r="A521" s="175"/>
      <c r="B521" s="176"/>
      <c r="C521" s="176"/>
      <c r="D521" s="175"/>
      <c r="E521" s="175"/>
      <c r="F521" s="175"/>
      <c r="G521" s="176"/>
      <c r="H521" s="176"/>
      <c r="I521" s="176"/>
      <c r="J521" s="176"/>
      <c r="K521" s="176"/>
    </row>
    <row r="522" spans="1:11" ht="13.5" customHeight="1">
      <c r="A522" s="175"/>
      <c r="B522" s="176"/>
      <c r="C522" s="176"/>
      <c r="D522" s="175"/>
      <c r="E522" s="175"/>
      <c r="F522" s="175"/>
      <c r="G522" s="176"/>
      <c r="H522" s="176"/>
      <c r="I522" s="176"/>
      <c r="J522" s="176"/>
      <c r="K522" s="176"/>
    </row>
    <row r="523" ht="61.5" customHeight="1">
      <c r="A523" s="27" t="s">
        <v>284</v>
      </c>
    </row>
    <row r="524" spans="1:11" ht="13.5" customHeight="1">
      <c r="A524" s="28" t="s">
        <v>326</v>
      </c>
      <c r="B524" s="29"/>
      <c r="C524" s="142" t="s">
        <v>330</v>
      </c>
      <c r="D524" s="146">
        <f>ABS(MIN(H499:H503))</f>
        <v>0.147591066559645</v>
      </c>
      <c r="E524" s="30" t="s">
        <v>38</v>
      </c>
      <c r="F524" s="149" t="str">
        <f>IF(D524&lt;=H524,"&lt;","&gt;")</f>
        <v>&lt;</v>
      </c>
      <c r="G524" s="29" t="s">
        <v>332</v>
      </c>
      <c r="H524" s="146">
        <f>F86</f>
        <v>12</v>
      </c>
      <c r="I524" s="30" t="s">
        <v>38</v>
      </c>
      <c r="J524" s="227" t="str">
        <f>IF(D524&lt;H524,"IKANOΠOIEITAI","ΔEN IKANOΠOIEITAI")</f>
        <v>IKANOΠOIEITAI</v>
      </c>
      <c r="K524" s="228"/>
    </row>
    <row r="525" spans="1:11" ht="13.5" customHeight="1">
      <c r="A525" s="12" t="s">
        <v>327</v>
      </c>
      <c r="B525" s="13"/>
      <c r="C525" s="143" t="s">
        <v>330</v>
      </c>
      <c r="D525" s="147">
        <v>0</v>
      </c>
      <c r="E525" s="14" t="s">
        <v>38</v>
      </c>
      <c r="F525" s="149"/>
      <c r="G525" s="13" t="s">
        <v>332</v>
      </c>
      <c r="H525" s="147">
        <v>0</v>
      </c>
      <c r="I525" s="14" t="s">
        <v>38</v>
      </c>
      <c r="J525" s="76"/>
      <c r="K525" s="56"/>
    </row>
    <row r="526" spans="1:11" ht="13.5" customHeight="1">
      <c r="A526" s="18" t="s">
        <v>328</v>
      </c>
      <c r="B526" s="19"/>
      <c r="C526" s="144" t="s">
        <v>329</v>
      </c>
      <c r="D526" s="148">
        <f>MAX(K499:K507)</f>
        <v>0.02746715495263797</v>
      </c>
      <c r="E526" s="20" t="s">
        <v>38</v>
      </c>
      <c r="F526" s="149" t="str">
        <f>IF(D526&lt;=H526,"&lt;","&gt;")</f>
        <v>&lt;</v>
      </c>
      <c r="G526" s="19" t="s">
        <v>331</v>
      </c>
      <c r="H526" s="148">
        <f>F87</f>
        <v>0.2</v>
      </c>
      <c r="I526" s="20" t="s">
        <v>38</v>
      </c>
      <c r="J526" s="227" t="str">
        <f>IF(D526&lt;H526,"IKANOΠOIEITAI","ΔEN IKANOΠOIEITAI")</f>
        <v>IKANOΠOIEITAI</v>
      </c>
      <c r="K526" s="228"/>
    </row>
    <row r="527" spans="1:11" ht="141.75" customHeight="1">
      <c r="A527" s="13"/>
      <c r="B527" s="13"/>
      <c r="C527" s="177"/>
      <c r="D527" s="147"/>
      <c r="E527" s="13"/>
      <c r="F527" s="178"/>
      <c r="G527" s="13"/>
      <c r="H527" s="147"/>
      <c r="I527" s="13"/>
      <c r="J527" s="214"/>
      <c r="K527" s="214"/>
    </row>
    <row r="528" ht="27" customHeight="1">
      <c r="A528" s="62" t="s">
        <v>137</v>
      </c>
    </row>
    <row r="529" ht="13.5" customHeight="1">
      <c r="A529" s="13" t="s">
        <v>254</v>
      </c>
    </row>
    <row r="530" ht="13.5" customHeight="1">
      <c r="A530" s="13" t="s">
        <v>121</v>
      </c>
    </row>
    <row r="531" ht="13.5" customHeight="1">
      <c r="A531" s="13" t="s">
        <v>122</v>
      </c>
    </row>
    <row r="532" ht="13.5" customHeight="1">
      <c r="A532" s="13" t="s">
        <v>258</v>
      </c>
    </row>
    <row r="533" ht="13.5" customHeight="1">
      <c r="A533" s="13" t="s">
        <v>259</v>
      </c>
    </row>
    <row r="535" spans="1:11" ht="13.5" customHeight="1">
      <c r="A535" s="122" t="s">
        <v>226</v>
      </c>
      <c r="B535" s="122" t="s">
        <v>260</v>
      </c>
      <c r="C535" s="122" t="s">
        <v>229</v>
      </c>
      <c r="D535" s="122" t="s">
        <v>269</v>
      </c>
      <c r="E535" s="122" t="s">
        <v>125</v>
      </c>
      <c r="F535" s="180" t="s">
        <v>126</v>
      </c>
      <c r="G535" s="122" t="s">
        <v>127</v>
      </c>
      <c r="H535" s="181" t="s">
        <v>128</v>
      </c>
      <c r="I535" s="234" t="s">
        <v>129</v>
      </c>
      <c r="J535" s="235"/>
      <c r="K535" s="236"/>
    </row>
    <row r="536" spans="1:11" ht="13.5" customHeight="1">
      <c r="A536" s="125" t="s">
        <v>53</v>
      </c>
      <c r="B536" s="125" t="s">
        <v>53</v>
      </c>
      <c r="C536" s="71" t="s">
        <v>92</v>
      </c>
      <c r="D536" s="71" t="s">
        <v>270</v>
      </c>
      <c r="E536" s="125"/>
      <c r="F536" s="182"/>
      <c r="G536" s="125" t="s">
        <v>92</v>
      </c>
      <c r="H536" s="183" t="s">
        <v>92</v>
      </c>
      <c r="I536" s="237"/>
      <c r="J536" s="238"/>
      <c r="K536" s="239"/>
    </row>
    <row r="537" spans="1:11" ht="13.5" customHeight="1">
      <c r="A537" s="138">
        <v>0</v>
      </c>
      <c r="B537" s="50">
        <f>F6</f>
        <v>0.5</v>
      </c>
      <c r="C537" s="70"/>
      <c r="D537" s="70"/>
      <c r="E537" s="70"/>
      <c r="F537" s="70"/>
      <c r="G537" s="70"/>
      <c r="H537" s="70"/>
      <c r="I537" s="70"/>
      <c r="J537" s="233"/>
      <c r="K537" s="226"/>
    </row>
    <row r="538" spans="1:11" ht="13.5" customHeight="1">
      <c r="A538" s="138">
        <f>IF(A498&gt;=F14,"",IF(0.5&lt;$F$14,0.5,$F$14))</f>
        <v>0.5</v>
      </c>
      <c r="B538" s="50">
        <f aca="true" t="shared" si="47" ref="B538:B547">IF(A499="","",$C$426+A499*TAN(RADIANS($F$18))+A499*TAN(RADIANS($F$15)))</f>
        <v>0.6136363636363636</v>
      </c>
      <c r="C538" s="138">
        <f aca="true" t="shared" si="48" ref="C538:C547">IF(A499="","",0.5*($C$498+C499)*A499*$F$85-$F$82*(0.5*($C$498+C499)*A499*$F$85)+$F$66*$H$120*A499*(A499/2)*SIN(RADIANS($F$71))+$F$21*$H$120*A499*SIN(RADIANS($F$71))+$F$22*$H$120*A499*SIN(RADIANS($F$71))+(1-$F$82)*$F$25+(1-$F$82)*$F$26)</f>
        <v>6.735777324600317</v>
      </c>
      <c r="D538" s="138">
        <f aca="true" t="shared" si="49" ref="D538:D547">IF(A499="","",(1+$H$154)*$F$66*$H$120*A499*(A499/2)*COS(RADIANS($F$71))*(A499/3)+$F$81*(0.5*($C$498+C499)*A499*$F$85)*((2*$C$498+C499)/(3*($C$498+C499)))*A499-$F$66*$H$120*A499*(A499/2)*SIN(RADIANS($F$71))*C499/2+(0.5*($C$498+C499)*A499*$F$85)*(1-$F$82)*((($C$498^2+$C$498*C499+C499^2)/(3*($C$498+C499)))-C499/2)+(1+$H$154)*$F$21*$H$120*A499*COS(RADIANS($F$71))*A499/2-$F$21*$H$120*A499*SIN(RADIANS($F$71))*C499/2+(1+$H$154)*$F$22*$H$120*A499*COS(RADIANS($F$71))*A499/2-$F$22*$H$120*A499*SIN(RADIANS($F$71))*C499/2+$H$350*A499+$H$362*A499-$I$361*(C499/2-$F$27)-$I$362*(C499/2-$F$27))</f>
        <v>0.38423793359996344</v>
      </c>
      <c r="E538" s="50">
        <f>IF(A538="","",(D538/C538+$F$5/450)/B538)</f>
        <v>0.10382533493890903</v>
      </c>
      <c r="F538" s="50">
        <f aca="true" t="shared" si="50" ref="F538:F547">IF(A499="","",1-2*(D538/C538)/B538)</f>
        <v>0.8140777251839104</v>
      </c>
      <c r="G538" s="138">
        <f aca="true" t="shared" si="51" ref="G538:G547">IF(A499="","",0.5*($C$498+C499)*A499*$F$85-$F$82*(0.5*($C$498+C499)*A499*$F$85)+$F$66*$H$120*A499*(A499/2)*SIN(RADIANS($F$71))+$F$21*$H$120*A499*SIN(RADIANS($F$71))+$F$22*$H$120*A499*SIN(RADIANS($F$71))+(1-$F$82)*$F$25+(1-$F$82)*$F$26)</f>
        <v>6.735777324600317</v>
      </c>
      <c r="H538" s="138">
        <f>IF(A538="","",1000*F538*B538*12/2.5)</f>
        <v>2397.828935996245</v>
      </c>
      <c r="I538" s="70" t="str">
        <f>IF(G538&lt;H538,"(Nsd&lt;Nrd)","")</f>
        <v>(Nsd&lt;Nrd)</v>
      </c>
      <c r="J538" s="227" t="str">
        <f aca="true" t="shared" si="52" ref="J538:J547">IF(A427="","",IF(G538&lt;H538,"IKANOΠOIEITAI","ΔEN IKANOΠOIEITAI"))</f>
        <v>IKANOΠOIEITAI</v>
      </c>
      <c r="K538" s="228"/>
    </row>
    <row r="539" spans="1:11" ht="13.5" customHeight="1">
      <c r="A539" s="138">
        <f>IF(A499&gt;=F14,"",IF(1&lt;$F$14,1,$F$14))</f>
        <v>1</v>
      </c>
      <c r="B539" s="50">
        <f t="shared" si="47"/>
        <v>0.7272727272727273</v>
      </c>
      <c r="C539" s="138">
        <f t="shared" si="48"/>
        <v>15.093247999778923</v>
      </c>
      <c r="D539" s="138">
        <f t="shared" si="49"/>
        <v>2.204396579509616</v>
      </c>
      <c r="E539" s="50">
        <f aca="true" t="shared" si="53" ref="E539:E547">IF(A539="","",(D539/C539+$F$5/450)/B539)</f>
        <v>0.20998794097887027</v>
      </c>
      <c r="F539" s="50">
        <f t="shared" si="50"/>
        <v>0.5983574513755927</v>
      </c>
      <c r="G539" s="138">
        <f t="shared" si="51"/>
        <v>15.093247999778923</v>
      </c>
      <c r="H539" s="138">
        <f aca="true" t="shared" si="54" ref="H539:H547">IF(A539="","",1000*F539*B539*12/2.5)</f>
        <v>2088.8114666202514</v>
      </c>
      <c r="I539" s="70" t="str">
        <f aca="true" t="shared" si="55" ref="I539:I547">IF(G539&lt;H539,"(Nsd&lt;Nrd)","")</f>
        <v>(Nsd&lt;Nrd)</v>
      </c>
      <c r="J539" s="227" t="str">
        <f t="shared" si="52"/>
        <v>IKANOΠOIEITAI</v>
      </c>
      <c r="K539" s="228"/>
    </row>
    <row r="540" spans="1:11" ht="13.5" customHeight="1">
      <c r="A540" s="138">
        <f>IF(A500&gt;=F14,"",IF(1.5&lt;$F$14,1.5,$F$14))</f>
        <v>1.5</v>
      </c>
      <c r="B540" s="50">
        <f t="shared" si="47"/>
        <v>0.8409090909090908</v>
      </c>
      <c r="C540" s="138">
        <f t="shared" si="48"/>
        <v>25.072412025535815</v>
      </c>
      <c r="D540" s="138">
        <f t="shared" si="49"/>
        <v>6.33044521841022</v>
      </c>
      <c r="E540" s="50">
        <f t="shared" si="53"/>
        <v>0.3081821279953404</v>
      </c>
      <c r="F540" s="50">
        <f t="shared" si="50"/>
        <v>0.399491599865175</v>
      </c>
      <c r="G540" s="138">
        <f t="shared" si="51"/>
        <v>25.072412025535815</v>
      </c>
      <c r="H540" s="138">
        <f t="shared" si="54"/>
        <v>1612.4933667285245</v>
      </c>
      <c r="I540" s="70" t="str">
        <f t="shared" si="55"/>
        <v>(Nsd&lt;Nrd)</v>
      </c>
      <c r="J540" s="227" t="str">
        <f t="shared" si="52"/>
        <v>IKANOΠOIEITAI</v>
      </c>
      <c r="K540" s="228"/>
    </row>
    <row r="541" spans="1:11" ht="13.5" customHeight="1">
      <c r="A541" s="138">
        <f>IF(A501&gt;=F14,"",IF(2&lt;$F$14,2,$F$14))</f>
        <v>2</v>
      </c>
      <c r="B541" s="50">
        <f t="shared" si="47"/>
        <v>0.9545454545454546</v>
      </c>
      <c r="C541" s="138">
        <f t="shared" si="48"/>
        <v>36.673269401871</v>
      </c>
      <c r="D541" s="138">
        <f t="shared" si="49"/>
        <v>13.632353130983041</v>
      </c>
      <c r="E541" s="50">
        <f t="shared" si="53"/>
        <v>0.3964098050546613</v>
      </c>
      <c r="F541" s="50">
        <f t="shared" si="50"/>
        <v>0.2211486438589313</v>
      </c>
      <c r="G541" s="138">
        <f t="shared" si="51"/>
        <v>36.673269401871</v>
      </c>
      <c r="H541" s="138">
        <f t="shared" si="54"/>
        <v>1013.2628773172852</v>
      </c>
      <c r="I541" s="70" t="str">
        <f t="shared" si="55"/>
        <v>(Nsd&lt;Nrd)</v>
      </c>
      <c r="J541" s="227" t="str">
        <f t="shared" si="52"/>
        <v>IKANOΠOIEITAI</v>
      </c>
      <c r="K541" s="228"/>
    </row>
    <row r="542" spans="1:11" ht="13.5" customHeight="1">
      <c r="A542" s="138">
        <f>IF(A502&gt;=F14,"",IF(2.5&lt;$F$14,2.5,$F$14))</f>
        <v>2.2</v>
      </c>
      <c r="B542" s="50">
        <f t="shared" si="47"/>
        <v>1</v>
      </c>
      <c r="C542" s="138">
        <f t="shared" si="48"/>
        <v>41.767686490567</v>
      </c>
      <c r="D542" s="138">
        <f t="shared" si="49"/>
        <v>17.637230011513</v>
      </c>
      <c r="E542" s="50">
        <f t="shared" si="53"/>
        <v>0.4289364041944148</v>
      </c>
      <c r="F542" s="50">
        <f t="shared" si="50"/>
        <v>0.1554605249445037</v>
      </c>
      <c r="G542" s="138">
        <f t="shared" si="51"/>
        <v>41.767686490567</v>
      </c>
      <c r="H542" s="138">
        <f t="shared" si="54"/>
        <v>746.2105197336176</v>
      </c>
      <c r="I542" s="70" t="str">
        <f t="shared" si="55"/>
        <v>(Nsd&lt;Nrd)</v>
      </c>
      <c r="J542" s="227" t="str">
        <f t="shared" si="52"/>
        <v>IKANOΠOIEITAI</v>
      </c>
      <c r="K542" s="228"/>
    </row>
    <row r="543" spans="1:11" ht="13.5" customHeight="1">
      <c r="A543" s="138">
        <f>IF(A503&gt;=F14,"",IF(3&lt;$F$14,3,$F$14))</f>
      </c>
      <c r="B543" s="50">
        <f t="shared" si="47"/>
      </c>
      <c r="C543" s="138">
        <f t="shared" si="48"/>
      </c>
      <c r="D543" s="138">
        <f t="shared" si="49"/>
      </c>
      <c r="E543" s="50">
        <f t="shared" si="53"/>
      </c>
      <c r="F543" s="50">
        <f t="shared" si="50"/>
      </c>
      <c r="G543" s="138">
        <f t="shared" si="51"/>
      </c>
      <c r="H543" s="138">
        <f t="shared" si="54"/>
      </c>
      <c r="I543" s="70">
        <f t="shared" si="55"/>
      </c>
      <c r="J543" s="227">
        <f t="shared" si="52"/>
      </c>
      <c r="K543" s="228"/>
    </row>
    <row r="544" spans="1:11" ht="13.5" customHeight="1">
      <c r="A544" s="138">
        <f>IF(A504&gt;=F14,"",IF(3.5&lt;$F$14,3.5,$F$14))</f>
      </c>
      <c r="B544" s="50">
        <f t="shared" si="47"/>
      </c>
      <c r="C544" s="138">
        <f t="shared" si="48"/>
      </c>
      <c r="D544" s="138">
        <f t="shared" si="49"/>
      </c>
      <c r="E544" s="50">
        <f t="shared" si="53"/>
      </c>
      <c r="F544" s="50">
        <f t="shared" si="50"/>
      </c>
      <c r="G544" s="138">
        <f t="shared" si="51"/>
      </c>
      <c r="H544" s="138">
        <f t="shared" si="54"/>
      </c>
      <c r="I544" s="70">
        <f t="shared" si="55"/>
      </c>
      <c r="J544" s="227">
        <f t="shared" si="52"/>
      </c>
      <c r="K544" s="228"/>
    </row>
    <row r="545" spans="1:11" ht="13.5" customHeight="1">
      <c r="A545" s="138">
        <f>IF(A505&gt;=F14,"",IF(4&lt;$F$14,4,$F$14))</f>
      </c>
      <c r="B545" s="50">
        <f t="shared" si="47"/>
      </c>
      <c r="C545" s="138">
        <f t="shared" si="48"/>
      </c>
      <c r="D545" s="138">
        <f t="shared" si="49"/>
      </c>
      <c r="E545" s="50">
        <f t="shared" si="53"/>
      </c>
      <c r="F545" s="50">
        <f t="shared" si="50"/>
      </c>
      <c r="G545" s="138">
        <f t="shared" si="51"/>
      </c>
      <c r="H545" s="138">
        <f t="shared" si="54"/>
      </c>
      <c r="I545" s="70">
        <f t="shared" si="55"/>
      </c>
      <c r="J545" s="227">
        <f t="shared" si="52"/>
      </c>
      <c r="K545" s="228"/>
    </row>
    <row r="546" spans="1:11" ht="13.5" customHeight="1">
      <c r="A546" s="138">
        <f>IF(A506&gt;=F14,"",IF(4.5&lt;$F$14,4.5,$F$14))</f>
      </c>
      <c r="B546" s="50">
        <f t="shared" si="47"/>
      </c>
      <c r="C546" s="138">
        <f t="shared" si="48"/>
      </c>
      <c r="D546" s="138">
        <f t="shared" si="49"/>
      </c>
      <c r="E546" s="50">
        <f t="shared" si="53"/>
      </c>
      <c r="F546" s="50">
        <f t="shared" si="50"/>
      </c>
      <c r="G546" s="138">
        <f t="shared" si="51"/>
      </c>
      <c r="H546" s="138">
        <f t="shared" si="54"/>
      </c>
      <c r="I546" s="70">
        <f t="shared" si="55"/>
      </c>
      <c r="J546" s="227">
        <f t="shared" si="52"/>
      </c>
      <c r="K546" s="228"/>
    </row>
    <row r="547" spans="1:11" ht="13.5" customHeight="1">
      <c r="A547" s="138">
        <f>IF(A506&gt;=F14,"",IF(5&lt;$F$14,5,$F$14))</f>
      </c>
      <c r="B547" s="50">
        <f t="shared" si="47"/>
      </c>
      <c r="C547" s="138">
        <f t="shared" si="48"/>
      </c>
      <c r="D547" s="138">
        <f t="shared" si="49"/>
      </c>
      <c r="E547" s="50">
        <f t="shared" si="53"/>
      </c>
      <c r="F547" s="50">
        <f t="shared" si="50"/>
      </c>
      <c r="G547" s="138">
        <f t="shared" si="51"/>
      </c>
      <c r="H547" s="138">
        <f t="shared" si="54"/>
      </c>
      <c r="I547" s="70">
        <f t="shared" si="55"/>
      </c>
      <c r="J547" s="227">
        <f t="shared" si="52"/>
      </c>
      <c r="K547" s="228"/>
    </row>
    <row r="548" spans="1:11" ht="13.5" customHeight="1">
      <c r="A548" s="175"/>
      <c r="B548" s="176"/>
      <c r="C548" s="175"/>
      <c r="D548" s="175"/>
      <c r="E548" s="176"/>
      <c r="F548" s="176"/>
      <c r="G548" s="175"/>
      <c r="H548" s="13"/>
      <c r="I548" s="13"/>
      <c r="J548" s="13"/>
      <c r="K548" s="13"/>
    </row>
    <row r="549" ht="13.5" customHeight="1">
      <c r="A549" s="186" t="s">
        <v>138</v>
      </c>
    </row>
    <row r="550" ht="13.5" customHeight="1">
      <c r="A550" s="187" t="s">
        <v>271</v>
      </c>
    </row>
    <row r="551" ht="13.5" customHeight="1">
      <c r="A551" s="187" t="s">
        <v>134</v>
      </c>
    </row>
    <row r="552" ht="13.5" customHeight="1">
      <c r="A552" s="187" t="s">
        <v>280</v>
      </c>
    </row>
    <row r="553" ht="13.5" customHeight="1">
      <c r="A553" s="187" t="s">
        <v>259</v>
      </c>
    </row>
    <row r="555" spans="1:9" ht="13.5" customHeight="1">
      <c r="A555" s="122" t="s">
        <v>226</v>
      </c>
      <c r="B555" s="188" t="s">
        <v>260</v>
      </c>
      <c r="C555" s="122" t="s">
        <v>228</v>
      </c>
      <c r="D555" s="189" t="s">
        <v>281</v>
      </c>
      <c r="E555" s="106" t="s">
        <v>282</v>
      </c>
      <c r="F555" s="168" t="s">
        <v>283</v>
      </c>
      <c r="G555" s="234" t="s">
        <v>129</v>
      </c>
      <c r="H555" s="235"/>
      <c r="I555" s="236"/>
    </row>
    <row r="556" spans="1:9" ht="13.5" customHeight="1">
      <c r="A556" s="123" t="s">
        <v>53</v>
      </c>
      <c r="B556" s="190" t="s">
        <v>53</v>
      </c>
      <c r="C556" s="68" t="s">
        <v>92</v>
      </c>
      <c r="D556" s="191" t="s">
        <v>93</v>
      </c>
      <c r="E556" s="192" t="s">
        <v>92</v>
      </c>
      <c r="F556" s="193" t="s">
        <v>92</v>
      </c>
      <c r="G556" s="240"/>
      <c r="H556" s="241"/>
      <c r="I556" s="242"/>
    </row>
    <row r="557" spans="1:9" ht="13.5" customHeight="1">
      <c r="A557" s="138">
        <v>0</v>
      </c>
      <c r="B557" s="50">
        <f>F6</f>
        <v>0.5</v>
      </c>
      <c r="C557" s="70"/>
      <c r="D557" s="70"/>
      <c r="E557" s="70"/>
      <c r="F557" s="70"/>
      <c r="G557" s="70"/>
      <c r="H557" s="233"/>
      <c r="I557" s="226"/>
    </row>
    <row r="558" spans="1:9" ht="13.5" customHeight="1">
      <c r="A558" s="138">
        <f>IF(A498&gt;=F14,"",IF(0.5&lt;$F$14,0.5,$F$14))</f>
        <v>0.5</v>
      </c>
      <c r="B558" s="50">
        <f aca="true" t="shared" si="56" ref="B558:B567">IF(A499="","",$C$426+A499*TAN(RADIANS($F$18))+A499*TAN(RADIANS($F$15)))</f>
        <v>0.6136363636363636</v>
      </c>
      <c r="C558" s="138">
        <f aca="true" t="shared" si="57" ref="C558:C567">IF(A499="","",$F$81*(0.5*($C$498+C499)*A499*$F$85)+(1+$H$154)*($F$66*$H$120*A499)*A499/2*COS(RADIANS($F$71))+(1+$H$154)*$F$21*$H$120*A499*COS(RADIANS($F$71))+(1+$H$154)*$F$22*$H$120*A499*COS(RADIANS($F$71))+$F$81*$F$25+$F$81*$F$26)</f>
        <v>2.9803987218035757</v>
      </c>
      <c r="D558" s="50">
        <f>IF(A558="","",C538/(1000*B538))</f>
        <v>0.010976822306756073</v>
      </c>
      <c r="E558" s="138">
        <f aca="true" t="shared" si="58" ref="E558:E567">IF(A499="","",C558)</f>
        <v>2.9803987218035757</v>
      </c>
      <c r="F558" s="138">
        <f>IF(A558="","",1000*(0.2+0.4*D558)*B558/2.5)</f>
        <v>50.16863346284514</v>
      </c>
      <c r="G558" s="70" t="str">
        <f>IF(E558&lt;F558,"(Vsd&lt;Vrd)","")</f>
        <v>(Vsd&lt;Vrd)</v>
      </c>
      <c r="H558" s="229" t="str">
        <f aca="true" t="shared" si="59" ref="H558:H567">IF(A427="","",IF(E558&lt;F558,"IKANOΠOIEITAI","ΔEN IKANOΠOIEITAI"))</f>
        <v>IKANOΠOIEITAI</v>
      </c>
      <c r="I558" s="230"/>
    </row>
    <row r="559" spans="1:9" ht="13.5" customHeight="1">
      <c r="A559" s="138">
        <f>IF(A499&gt;=F14,"",IF(1&lt;$F$14,1,$F$14))</f>
        <v>1</v>
      </c>
      <c r="B559" s="50">
        <f t="shared" si="56"/>
        <v>0.7272727272727273</v>
      </c>
      <c r="C559" s="138">
        <f t="shared" si="57"/>
        <v>7.956581878617237</v>
      </c>
      <c r="D559" s="50">
        <f aca="true" t="shared" si="60" ref="D559:D567">IF(A559="","",C539/(1000*B539))</f>
        <v>0.02075321599969602</v>
      </c>
      <c r="E559" s="138">
        <f t="shared" si="58"/>
        <v>7.956581878617237</v>
      </c>
      <c r="F559" s="138">
        <f aca="true" t="shared" si="61" ref="F559:F567">IF(A559="","",1000*(0.2+0.4*D559)*B559/2.5)</f>
        <v>60.59673786178281</v>
      </c>
      <c r="G559" s="70" t="str">
        <f aca="true" t="shared" si="62" ref="G559:G567">IF(E559&lt;F559,"(Vsd&lt;Vrd)","")</f>
        <v>(Vsd&lt;Vrd)</v>
      </c>
      <c r="H559" s="229" t="str">
        <f t="shared" si="59"/>
        <v>IKANOΠOIEITAI</v>
      </c>
      <c r="I559" s="230"/>
    </row>
    <row r="560" spans="1:9" ht="13.5" customHeight="1">
      <c r="A560" s="138">
        <f>IF(A500&gt;=F14,"",IF(1.5&lt;$F$14,1.5,$F$14))</f>
        <v>1.5</v>
      </c>
      <c r="B560" s="50">
        <f t="shared" si="56"/>
        <v>0.8409090909090908</v>
      </c>
      <c r="C560" s="138">
        <f t="shared" si="57"/>
        <v>14.928549470440986</v>
      </c>
      <c r="D560" s="50">
        <f t="shared" si="60"/>
        <v>0.029815841327664214</v>
      </c>
      <c r="E560" s="138">
        <f t="shared" si="58"/>
        <v>14.928549470440986</v>
      </c>
      <c r="F560" s="138">
        <f t="shared" si="61"/>
        <v>71.284313196813</v>
      </c>
      <c r="G560" s="70" t="str">
        <f t="shared" si="62"/>
        <v>(Vsd&lt;Vrd)</v>
      </c>
      <c r="H560" s="229" t="str">
        <f t="shared" si="59"/>
        <v>IKANOΠOIEITAI</v>
      </c>
      <c r="I560" s="230"/>
    </row>
    <row r="561" spans="1:9" ht="13.5" customHeight="1">
      <c r="A561" s="138">
        <f>IF(A501&gt;=F14,"",IF(2&lt;$F$14,2,$F$14))</f>
        <v>2</v>
      </c>
      <c r="B561" s="50">
        <f t="shared" si="56"/>
        <v>0.9545454545454546</v>
      </c>
      <c r="C561" s="138">
        <f t="shared" si="57"/>
        <v>23.896301497274816</v>
      </c>
      <c r="D561" s="50">
        <f t="shared" si="60"/>
        <v>0.038419615563864855</v>
      </c>
      <c r="E561" s="138">
        <f t="shared" si="58"/>
        <v>23.896301497274816</v>
      </c>
      <c r="F561" s="138">
        <f t="shared" si="61"/>
        <v>82.23135946793573</v>
      </c>
      <c r="G561" s="70" t="str">
        <f t="shared" si="62"/>
        <v>(Vsd&lt;Vrd)</v>
      </c>
      <c r="H561" s="229" t="str">
        <f t="shared" si="59"/>
        <v>IKANOΠOIEITAI</v>
      </c>
      <c r="I561" s="230"/>
    </row>
    <row r="562" spans="1:9" ht="13.5" customHeight="1">
      <c r="A562" s="138">
        <f>IF(A502&gt;=F14,"",IF(2.5&lt;$F$14,2.5,$F$14))</f>
        <v>2.2</v>
      </c>
      <c r="B562" s="50">
        <f t="shared" si="56"/>
        <v>1</v>
      </c>
      <c r="C562" s="138">
        <f t="shared" si="57"/>
        <v>28.04222194981118</v>
      </c>
      <c r="D562" s="50">
        <f t="shared" si="60"/>
        <v>0.041767686490567</v>
      </c>
      <c r="E562" s="138">
        <f t="shared" si="58"/>
        <v>28.04222194981118</v>
      </c>
      <c r="F562" s="138">
        <f t="shared" si="61"/>
        <v>86.68282983849073</v>
      </c>
      <c r="G562" s="70" t="str">
        <f t="shared" si="62"/>
        <v>(Vsd&lt;Vrd)</v>
      </c>
      <c r="H562" s="229" t="str">
        <f t="shared" si="59"/>
        <v>IKANOΠOIEITAI</v>
      </c>
      <c r="I562" s="230"/>
    </row>
    <row r="563" spans="1:9" ht="13.5" customHeight="1">
      <c r="A563" s="138">
        <f>IF(A503&gt;=F14,"",IF(3&lt;$F$14,3,$F$14))</f>
      </c>
      <c r="B563" s="50">
        <f t="shared" si="56"/>
      </c>
      <c r="C563" s="138">
        <f t="shared" si="57"/>
      </c>
      <c r="D563" s="50">
        <f t="shared" si="60"/>
      </c>
      <c r="E563" s="138">
        <f t="shared" si="58"/>
      </c>
      <c r="F563" s="138">
        <f t="shared" si="61"/>
      </c>
      <c r="G563" s="70">
        <f t="shared" si="62"/>
      </c>
      <c r="H563" s="229">
        <f t="shared" si="59"/>
      </c>
      <c r="I563" s="230"/>
    </row>
    <row r="564" spans="1:9" ht="13.5" customHeight="1">
      <c r="A564" s="138">
        <f>IF(A504&gt;=F14,"",IF(3.5&lt;$F$14,3.5,$F$14))</f>
      </c>
      <c r="B564" s="50">
        <f t="shared" si="56"/>
      </c>
      <c r="C564" s="138">
        <f t="shared" si="57"/>
      </c>
      <c r="D564" s="50">
        <f t="shared" si="60"/>
      </c>
      <c r="E564" s="138">
        <f t="shared" si="58"/>
      </c>
      <c r="F564" s="138">
        <f t="shared" si="61"/>
      </c>
      <c r="G564" s="70">
        <f t="shared" si="62"/>
      </c>
      <c r="H564" s="229">
        <f t="shared" si="59"/>
      </c>
      <c r="I564" s="230"/>
    </row>
    <row r="565" spans="1:9" ht="13.5" customHeight="1">
      <c r="A565" s="138">
        <f>IF(A505&gt;=F14,"",IF(4&lt;$F$14,4,$F$14))</f>
      </c>
      <c r="B565" s="50">
        <f t="shared" si="56"/>
      </c>
      <c r="C565" s="138">
        <f t="shared" si="57"/>
      </c>
      <c r="D565" s="50">
        <f t="shared" si="60"/>
      </c>
      <c r="E565" s="138">
        <f t="shared" si="58"/>
      </c>
      <c r="F565" s="138">
        <f t="shared" si="61"/>
      </c>
      <c r="G565" s="70">
        <f t="shared" si="62"/>
      </c>
      <c r="H565" s="229">
        <f t="shared" si="59"/>
      </c>
      <c r="I565" s="230"/>
    </row>
    <row r="566" spans="1:9" ht="13.5" customHeight="1">
      <c r="A566" s="138">
        <f>IF(A506&gt;=F14,"",IF(4.5&lt;$F$14,4.5,$F$14))</f>
      </c>
      <c r="B566" s="50">
        <f t="shared" si="56"/>
      </c>
      <c r="C566" s="138">
        <f t="shared" si="57"/>
      </c>
      <c r="D566" s="50">
        <f t="shared" si="60"/>
      </c>
      <c r="E566" s="138">
        <f t="shared" si="58"/>
      </c>
      <c r="F566" s="138">
        <f t="shared" si="61"/>
      </c>
      <c r="G566" s="70">
        <f t="shared" si="62"/>
      </c>
      <c r="H566" s="229">
        <f t="shared" si="59"/>
      </c>
      <c r="I566" s="230"/>
    </row>
    <row r="567" spans="1:9" ht="13.5" customHeight="1">
      <c r="A567" s="138">
        <f>IF(A506&gt;=F14,"",IF(5&lt;$F$14,5,$F$14))</f>
      </c>
      <c r="B567" s="50">
        <f t="shared" si="56"/>
      </c>
      <c r="C567" s="138">
        <f t="shared" si="57"/>
      </c>
      <c r="D567" s="50">
        <f t="shared" si="60"/>
      </c>
      <c r="E567" s="138">
        <f t="shared" si="58"/>
      </c>
      <c r="F567" s="138">
        <f t="shared" si="61"/>
      </c>
      <c r="G567" s="70">
        <f t="shared" si="62"/>
      </c>
      <c r="H567" s="229">
        <f t="shared" si="59"/>
      </c>
      <c r="I567" s="230"/>
    </row>
    <row r="571" ht="13.5" customHeight="1">
      <c r="H571" t="s">
        <v>396</v>
      </c>
    </row>
  </sheetData>
  <sheetProtection password="EB66" sheet="1" selectLockedCells="1"/>
  <mergeCells count="67">
    <mergeCell ref="A63:L63"/>
    <mergeCell ref="A1:L1"/>
    <mergeCell ref="A2:L2"/>
    <mergeCell ref="A3:L3"/>
    <mergeCell ref="D32:F32"/>
    <mergeCell ref="K39:L39"/>
    <mergeCell ref="K54:L54"/>
    <mergeCell ref="H566:I566"/>
    <mergeCell ref="G481:I482"/>
    <mergeCell ref="G555:I556"/>
    <mergeCell ref="A437:D437"/>
    <mergeCell ref="E437:H437"/>
    <mergeCell ref="I437:L437"/>
    <mergeCell ref="I461:K462"/>
    <mergeCell ref="A510:D510"/>
    <mergeCell ref="E510:H510"/>
    <mergeCell ref="I510:L510"/>
    <mergeCell ref="H562:I562"/>
    <mergeCell ref="H563:I563"/>
    <mergeCell ref="H564:I564"/>
    <mergeCell ref="H565:I565"/>
    <mergeCell ref="H558:I558"/>
    <mergeCell ref="H559:I559"/>
    <mergeCell ref="H560:I560"/>
    <mergeCell ref="H561:I561"/>
    <mergeCell ref="H567:I567"/>
    <mergeCell ref="J538:K538"/>
    <mergeCell ref="J539:K539"/>
    <mergeCell ref="J540:K540"/>
    <mergeCell ref="J541:K541"/>
    <mergeCell ref="J542:K542"/>
    <mergeCell ref="J543:K543"/>
    <mergeCell ref="J544:K544"/>
    <mergeCell ref="J545:K545"/>
    <mergeCell ref="J546:K546"/>
    <mergeCell ref="J547:K547"/>
    <mergeCell ref="J537:K537"/>
    <mergeCell ref="H557:I557"/>
    <mergeCell ref="J524:K524"/>
    <mergeCell ref="J526:K526"/>
    <mergeCell ref="I535:K536"/>
    <mergeCell ref="H483:I483"/>
    <mergeCell ref="H484:I484"/>
    <mergeCell ref="H485:I485"/>
    <mergeCell ref="H486:I486"/>
    <mergeCell ref="H487:I487"/>
    <mergeCell ref="H488:I488"/>
    <mergeCell ref="H489:I489"/>
    <mergeCell ref="H490:I490"/>
    <mergeCell ref="H491:I491"/>
    <mergeCell ref="H492:I492"/>
    <mergeCell ref="H493:I493"/>
    <mergeCell ref="J464:K464"/>
    <mergeCell ref="J465:K465"/>
    <mergeCell ref="J466:K466"/>
    <mergeCell ref="J467:K467"/>
    <mergeCell ref="J468:K468"/>
    <mergeCell ref="J366:L366"/>
    <mergeCell ref="J279:L279"/>
    <mergeCell ref="J451:K451"/>
    <mergeCell ref="J453:K453"/>
    <mergeCell ref="J472:K472"/>
    <mergeCell ref="J473:K473"/>
    <mergeCell ref="J463:K463"/>
    <mergeCell ref="J469:K469"/>
    <mergeCell ref="J470:K470"/>
    <mergeCell ref="J471:K471"/>
  </mergeCells>
  <printOptions/>
  <pageMargins left="0.7480314960629921" right="0.7480314960629921" top="0.984251968503937" bottom="0.984251968503937" header="0.5118110236220472" footer="0.5118110236220472"/>
  <pageSetup orientation="portrait" paperSize="9" scale="75" r:id="rId2"/>
  <headerFooter alignWithMargins="0">
    <oddFooter>&amp;LMιχαήλ Kουϊμτζής&amp;CPage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F1">
      <selection activeCell="Q27" sqref="Q27"/>
    </sheetView>
  </sheetViews>
  <sheetFormatPr defaultColWidth="6.875" defaultRowHeight="12.75"/>
  <sheetData>
    <row r="1" spans="1:20" ht="12.75">
      <c r="A1" s="28" t="s">
        <v>160</v>
      </c>
      <c r="B1" s="30"/>
      <c r="C1" s="28" t="s">
        <v>163</v>
      </c>
      <c r="D1" s="30"/>
      <c r="E1" s="28" t="s">
        <v>164</v>
      </c>
      <c r="F1" s="30"/>
      <c r="G1" s="28" t="s">
        <v>165</v>
      </c>
      <c r="H1" s="30"/>
      <c r="I1" s="28" t="s">
        <v>166</v>
      </c>
      <c r="J1" s="30"/>
      <c r="K1" s="28" t="s">
        <v>167</v>
      </c>
      <c r="L1" s="30"/>
      <c r="M1" s="28" t="s">
        <v>168</v>
      </c>
      <c r="N1" s="30"/>
      <c r="O1" s="28" t="s">
        <v>169</v>
      </c>
      <c r="P1" s="30"/>
      <c r="Q1" s="28" t="s">
        <v>111</v>
      </c>
      <c r="R1" s="29"/>
      <c r="S1" s="28" t="s">
        <v>178</v>
      </c>
      <c r="T1" s="30"/>
    </row>
    <row r="2" spans="1:20" ht="12.75">
      <c r="A2" s="18" t="s">
        <v>161</v>
      </c>
      <c r="B2" s="20" t="s">
        <v>162</v>
      </c>
      <c r="C2" s="18" t="s">
        <v>161</v>
      </c>
      <c r="D2" s="20" t="s">
        <v>162</v>
      </c>
      <c r="E2" s="18" t="s">
        <v>161</v>
      </c>
      <c r="F2" s="20" t="s">
        <v>162</v>
      </c>
      <c r="G2" s="18" t="s">
        <v>161</v>
      </c>
      <c r="H2" s="20" t="s">
        <v>162</v>
      </c>
      <c r="I2" s="18" t="s">
        <v>161</v>
      </c>
      <c r="J2" s="20" t="s">
        <v>162</v>
      </c>
      <c r="K2" s="18" t="s">
        <v>161</v>
      </c>
      <c r="L2" s="20" t="s">
        <v>162</v>
      </c>
      <c r="M2" s="18" t="s">
        <v>161</v>
      </c>
      <c r="N2" s="20" t="s">
        <v>162</v>
      </c>
      <c r="O2" s="18" t="s">
        <v>161</v>
      </c>
      <c r="P2" s="20" t="s">
        <v>162</v>
      </c>
      <c r="Q2" s="18"/>
      <c r="R2" s="19"/>
      <c r="S2" s="18"/>
      <c r="T2" s="20"/>
    </row>
    <row r="3" spans="1:20" ht="12.75">
      <c r="A3" s="98">
        <f>'TOIXOΣ BAPYTHTAΣ'!F6+'TOIXOΣ BAPYTHTAΣ'!F7+'TOIXOΣ BAPYTHTAΣ'!F9</f>
        <v>1.5</v>
      </c>
      <c r="B3" s="100">
        <f>A3-'TOIXOΣ BAPYTHTAΣ'!F6</f>
        <v>1</v>
      </c>
      <c r="C3" s="98">
        <f>B3</f>
        <v>1</v>
      </c>
      <c r="D3" s="100">
        <f>'TOIXOΣ BAPYTHTAΣ'!F9</f>
        <v>0.5</v>
      </c>
      <c r="E3" s="98">
        <f>D3</f>
        <v>0.5</v>
      </c>
      <c r="F3" s="30">
        <f>0</f>
        <v>0</v>
      </c>
      <c r="G3" s="28">
        <f>F3</f>
        <v>0</v>
      </c>
      <c r="H3" s="30">
        <v>0</v>
      </c>
      <c r="I3" s="28">
        <f>H3</f>
        <v>0</v>
      </c>
      <c r="J3" s="100">
        <f>'TOIXOΣ BAPYTHTAΣ'!F17</f>
        <v>1.5</v>
      </c>
      <c r="K3" s="98">
        <f>J3</f>
        <v>1.5</v>
      </c>
      <c r="L3" s="100">
        <f>K3</f>
        <v>1.5</v>
      </c>
      <c r="M3" s="98">
        <f>L3</f>
        <v>1.5</v>
      </c>
      <c r="N3" s="100">
        <f>'TOIXOΣ BAPYTHTAΣ'!F6+'TOIXOΣ BAPYTHTAΣ'!F7+'TOIXOΣ BAPYTHTAΣ'!F8+'TOIXOΣ BAPYTHTAΣ'!F9</f>
        <v>1.5</v>
      </c>
      <c r="O3" s="98">
        <f>N3</f>
        <v>1.5</v>
      </c>
      <c r="P3" s="208">
        <f>'TOIXOΣ BAPYTHTAΣ'!F6+'TOIXOΣ BAPYTHTAΣ'!F7+'TOIXOΣ BAPYTHTAΣ'!F9</f>
        <v>1.5</v>
      </c>
      <c r="Q3" s="114">
        <f>A3</f>
        <v>1.5</v>
      </c>
      <c r="R3" s="114">
        <f>Q3+1</f>
        <v>2.5</v>
      </c>
      <c r="S3" s="29">
        <v>0</v>
      </c>
      <c r="T3" s="30">
        <f>IF('TOIXOΣ BAPYTHTAΣ'!L65&gt;=('TOIXOΣ BAPYTHTAΣ'!F11+'TOIXOΣ BAPYTHTAΣ'!F12),'TOIXOΣ BAPYTHTAΣ'!F9+'TOIXOΣ BAPYTHTAΣ'!F7*('TOIXOΣ BAPYTHTAΣ'!L65-'TOIXOΣ BAPYTHTAΣ'!F16)/'TOIXOΣ BAPYTHTAΣ'!F14,IF('TOIXOΣ BAPYTHTAΣ'!F11+'TOIXOΣ BAPYTHTAΣ'!F12&gt;'TOIXOΣ BAPYTHTAΣ'!L65&gt;'TOIXOΣ BAPYTHTAΣ'!F11,'TOIXOΣ BAPYTHTAΣ'!F9*('TOIXOΣ BAPYTHTAΣ'!L65-'TOIXOΣ BAPYTHTAΣ'!F11)/'TOIXOΣ BAPYTHTAΣ'!F12,0))</f>
        <v>0.5</v>
      </c>
    </row>
    <row r="4" spans="1:20" ht="12.75">
      <c r="A4" s="99">
        <f>'TOIXOΣ BAPYTHTAΣ'!F5</f>
        <v>3</v>
      </c>
      <c r="B4" s="101">
        <f>'TOIXOΣ BAPYTHTAΣ'!F5</f>
        <v>3</v>
      </c>
      <c r="C4" s="99">
        <f>B4</f>
        <v>3</v>
      </c>
      <c r="D4" s="101">
        <f>'TOIXOΣ BAPYTHTAΣ'!F16</f>
        <v>0.8</v>
      </c>
      <c r="E4" s="99">
        <f>D4</f>
        <v>0.8</v>
      </c>
      <c r="F4" s="101">
        <f>'TOIXOΣ BAPYTHTAΣ'!F11</f>
        <v>0.8</v>
      </c>
      <c r="G4" s="99">
        <f>F4</f>
        <v>0.8</v>
      </c>
      <c r="H4" s="20">
        <v>0</v>
      </c>
      <c r="I4" s="18">
        <f>H4</f>
        <v>0</v>
      </c>
      <c r="J4" s="20">
        <v>0</v>
      </c>
      <c r="K4" s="18">
        <f>J4</f>
        <v>0</v>
      </c>
      <c r="L4" s="101">
        <f>'TOIXOΣ BAPYTHTAΣ'!F11</f>
        <v>0.8</v>
      </c>
      <c r="M4" s="99">
        <f>L4</f>
        <v>0.8</v>
      </c>
      <c r="N4" s="101">
        <f>'TOIXOΣ BAPYTHTAΣ'!F16</f>
        <v>0.8</v>
      </c>
      <c r="O4" s="99">
        <f>N4</f>
        <v>0.8</v>
      </c>
      <c r="P4" s="209">
        <f>'TOIXOΣ BAPYTHTAΣ'!F5</f>
        <v>3</v>
      </c>
      <c r="Q4" s="114">
        <f>B4</f>
        <v>3</v>
      </c>
      <c r="R4" s="114">
        <f>Q4+TAN(RADIANS('TOIXOΣ BAPYTHTAΣ'!$F$31))</f>
        <v>3.1405408347023913</v>
      </c>
      <c r="S4" s="209">
        <f>'TOIXOΣ BAPYTHTAΣ'!L65</f>
        <v>0.8</v>
      </c>
      <c r="T4" s="101">
        <f>'TOIXOΣ BAPYTHTAΣ'!L65</f>
        <v>0.8</v>
      </c>
    </row>
    <row r="5" spans="1:18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Q5" s="114">
        <f>'TOIXOΣ BAPYTHTAΣ'!F6+'TOIXOΣ BAPYTHTAΣ'!F7+'TOIXOΣ BAPYTHTAΣ'!F9+'TOIXOΣ BAPYTHTAΣ'!F65*'TOIXOΣ BAPYTHTAΣ'!F8/'TOIXOΣ BAPYTHTAΣ'!F14</f>
        <v>1.5</v>
      </c>
      <c r="R5" s="114">
        <f>Q5+1</f>
        <v>2.5</v>
      </c>
    </row>
    <row r="6" spans="1:18" ht="12.75">
      <c r="A6" s="76" t="s">
        <v>310</v>
      </c>
      <c r="B6" s="55"/>
      <c r="C6" s="55"/>
      <c r="D6" s="55"/>
      <c r="E6" s="55"/>
      <c r="F6" s="55"/>
      <c r="G6" s="55"/>
      <c r="H6" s="56"/>
      <c r="Q6" s="114">
        <f>'TOIXOΣ BAPYTHTAΣ'!F5-'TOIXOΣ BAPYTHTAΣ'!F65</f>
        <v>1.2</v>
      </c>
      <c r="R6" s="114">
        <f>Q6</f>
        <v>1.2</v>
      </c>
    </row>
    <row r="7" spans="1:15" ht="12.75">
      <c r="A7" s="138">
        <v>0</v>
      </c>
      <c r="B7" s="138">
        <f>A7</f>
        <v>0</v>
      </c>
      <c r="C7" s="138">
        <f>B7</f>
        <v>0</v>
      </c>
      <c r="D7" s="138">
        <f>'TOIXOΣ BAPYTHTAΣ'!H123</f>
        <v>0.540704102333364</v>
      </c>
      <c r="E7" s="138">
        <f>D7</f>
        <v>0.540704102333364</v>
      </c>
      <c r="F7" s="138">
        <f>'TOIXOΣ BAPYTHTAΣ'!H124</f>
        <v>9.300110560133861</v>
      </c>
      <c r="G7" s="138">
        <f>F7</f>
        <v>9.300110560133861</v>
      </c>
      <c r="H7" s="138">
        <v>0</v>
      </c>
      <c r="J7" s="70">
        <v>0</v>
      </c>
      <c r="K7" s="70">
        <v>0</v>
      </c>
      <c r="L7" s="70">
        <f>K7</f>
        <v>0</v>
      </c>
      <c r="M7" s="70">
        <f>'TOIXOΣ BAPYTHTAΣ'!H215</f>
        <v>-43.20000000000001</v>
      </c>
      <c r="N7" s="70">
        <f>M7</f>
        <v>-43.20000000000001</v>
      </c>
      <c r="O7" s="70">
        <v>0</v>
      </c>
    </row>
    <row r="8" spans="1:15" ht="12.75">
      <c r="A8" s="138">
        <f>'TOIXOΣ BAPYTHTAΣ'!H159</f>
        <v>1.2</v>
      </c>
      <c r="B8" s="138">
        <f>'TOIXOΣ BAPYTHTAΣ'!F5</f>
        <v>3</v>
      </c>
      <c r="C8" s="138">
        <f>B8</f>
        <v>3</v>
      </c>
      <c r="D8" s="138">
        <f>C8</f>
        <v>3</v>
      </c>
      <c r="E8" s="138">
        <f>D8</f>
        <v>3</v>
      </c>
      <c r="F8" s="138">
        <f>A8</f>
        <v>1.2</v>
      </c>
      <c r="G8" s="138">
        <f>F8</f>
        <v>1.2</v>
      </c>
      <c r="H8" s="138">
        <f>G8</f>
        <v>1.2</v>
      </c>
      <c r="J8" s="70">
        <v>0</v>
      </c>
      <c r="K8" s="114">
        <f>'TOIXOΣ BAPYTHTAΣ'!L65</f>
        <v>0.8</v>
      </c>
      <c r="L8" s="114">
        <f>K8</f>
        <v>0.8</v>
      </c>
      <c r="M8" s="70">
        <v>0</v>
      </c>
      <c r="N8" s="70">
        <f>M8</f>
        <v>0</v>
      </c>
      <c r="O8" s="70">
        <v>0</v>
      </c>
    </row>
    <row r="9" spans="1:8" ht="12.75">
      <c r="A9" s="76" t="s">
        <v>312</v>
      </c>
      <c r="B9" s="55"/>
      <c r="C9" s="55"/>
      <c r="D9" s="55"/>
      <c r="E9" s="55"/>
      <c r="F9" s="55"/>
      <c r="G9" s="55"/>
      <c r="H9" s="56"/>
    </row>
    <row r="10" spans="1:8" ht="12.75">
      <c r="A10" s="138">
        <v>0</v>
      </c>
      <c r="B10" s="138">
        <v>0</v>
      </c>
      <c r="C10" s="138">
        <f>B10</f>
        <v>0</v>
      </c>
      <c r="D10" s="138">
        <f>'TOIXOΣ BAPYTHTAΣ'!H173</f>
        <v>8.432820469925339</v>
      </c>
      <c r="E10" s="138">
        <f>D10</f>
        <v>8.432820469925339</v>
      </c>
      <c r="F10" s="138">
        <f>'TOIXOΣ BAPYTHTAΣ'!H174</f>
        <v>13.139510964767389</v>
      </c>
      <c r="G10" s="138">
        <f>F10</f>
        <v>13.139510964767389</v>
      </c>
      <c r="H10" s="138">
        <v>0</v>
      </c>
    </row>
    <row r="11" spans="1:8" ht="12.75">
      <c r="A11" s="138">
        <v>0</v>
      </c>
      <c r="B11" s="138">
        <f>'TOIXOΣ BAPYTHTAΣ'!H159</f>
        <v>1.2</v>
      </c>
      <c r="C11" s="138">
        <f>B11</f>
        <v>1.2</v>
      </c>
      <c r="D11" s="138">
        <f>C11</f>
        <v>1.2</v>
      </c>
      <c r="E11" s="138">
        <f>D11</f>
        <v>1.2</v>
      </c>
      <c r="F11" s="138">
        <v>0</v>
      </c>
      <c r="G11" s="138">
        <f>0</f>
        <v>0</v>
      </c>
      <c r="H11" s="138">
        <v>0</v>
      </c>
    </row>
    <row r="28" spans="1:13" ht="12.75">
      <c r="A28" s="70">
        <v>0</v>
      </c>
      <c r="B28" s="70">
        <v>0</v>
      </c>
      <c r="C28" s="70">
        <f>B28</f>
        <v>0</v>
      </c>
      <c r="D28" s="114">
        <f>'TOIXOΣ BAPYTHTAΣ'!F17</f>
        <v>1.5</v>
      </c>
      <c r="E28" s="114">
        <f>D28</f>
        <v>1.5</v>
      </c>
      <c r="F28" s="114">
        <f>E28</f>
        <v>1.5</v>
      </c>
      <c r="H28" s="70">
        <v>0</v>
      </c>
      <c r="I28" s="70">
        <v>0</v>
      </c>
      <c r="J28" s="70">
        <f>I28</f>
        <v>0</v>
      </c>
      <c r="K28" s="114">
        <f>'TOIXOΣ BAPYTHTAΣ'!F17</f>
        <v>1.5</v>
      </c>
      <c r="L28" s="114">
        <f>K28</f>
        <v>1.5</v>
      </c>
      <c r="M28" s="114">
        <f>L28</f>
        <v>1.5</v>
      </c>
    </row>
    <row r="29" spans="1:13" ht="12.75">
      <c r="A29" s="70">
        <v>0</v>
      </c>
      <c r="B29" s="70">
        <f>'TOIXOΣ BAPYTHTAΣ'!G260</f>
        <v>0.09040057969583222</v>
      </c>
      <c r="C29" s="70">
        <f>B29</f>
        <v>0.09040057969583222</v>
      </c>
      <c r="D29" s="70">
        <f>'TOIXOΣ BAPYTHTAΣ'!G261</f>
        <v>0.017017872528665687</v>
      </c>
      <c r="E29" s="70">
        <f>D29</f>
        <v>0.017017872528665687</v>
      </c>
      <c r="F29" s="70">
        <f>0</f>
        <v>0</v>
      </c>
      <c r="H29" s="70">
        <v>0</v>
      </c>
      <c r="I29" s="70">
        <f>'TOIXOΣ BAPYTHTAΣ'!G283</f>
        <v>0.09312280191805442</v>
      </c>
      <c r="J29" s="70">
        <f>I29</f>
        <v>0.09312280191805442</v>
      </c>
      <c r="K29" s="70">
        <f>'TOIXOΣ BAPYTHTAΣ'!G284</f>
        <v>0.047545650306443484</v>
      </c>
      <c r="L29" s="70">
        <f>K29</f>
        <v>0.047545650306443484</v>
      </c>
      <c r="M29" s="70">
        <v>0</v>
      </c>
    </row>
    <row r="44" spans="1:6" ht="12.75">
      <c r="A44" s="70">
        <v>0</v>
      </c>
      <c r="B44" s="70">
        <v>0</v>
      </c>
      <c r="C44" s="70">
        <f>B44</f>
        <v>0</v>
      </c>
      <c r="D44" s="114">
        <f>'TOIXOΣ BAPYTHTAΣ'!F17</f>
        <v>1.5</v>
      </c>
      <c r="E44" s="114">
        <f>D44</f>
        <v>1.5</v>
      </c>
      <c r="F44" s="114">
        <f>E44</f>
        <v>1.5</v>
      </c>
    </row>
    <row r="45" spans="1:6" ht="12.75">
      <c r="A45" s="70">
        <v>0</v>
      </c>
      <c r="B45" s="70">
        <f>'TOIXOΣ BAPYTHTAΣ'!G370</f>
        <v>0.1694452279281761</v>
      </c>
      <c r="C45" s="70">
        <f>B45</f>
        <v>0.1694452279281761</v>
      </c>
      <c r="D45" s="70">
        <f>'TOIXOΣ BAPYTHTAΣ'!G371</f>
        <v>-0.0415422180374048</v>
      </c>
      <c r="E45" s="70">
        <f>D45</f>
        <v>-0.0415422180374048</v>
      </c>
      <c r="F45" s="70">
        <f>0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Γραφείο Mελετών Tεχνικών Έργων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Mιχαήλ Kουϊμτζής</dc:creator>
  <cp:keywords/>
  <dc:description/>
  <cp:lastModifiedBy>UNIWA</cp:lastModifiedBy>
  <cp:lastPrinted>2007-10-04T07:31:12Z</cp:lastPrinted>
  <dcterms:created xsi:type="dcterms:W3CDTF">2007-04-07T08:57:15Z</dcterms:created>
  <dcterms:modified xsi:type="dcterms:W3CDTF">2021-01-08T07:35:46Z</dcterms:modified>
  <cp:category/>
  <cp:version/>
  <cp:contentType/>
  <cp:contentStatus/>
</cp:coreProperties>
</file>